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192.168.200.213\share\36-技術部\【06】技術資料\【01】客先提出技術資料\【02】HQJT_2013~\2018年\HQJT18066\"/>
    </mc:Choice>
  </mc:AlternateContent>
  <workbookProtection workbookAlgorithmName="SHA-512" workbookHashValue="B3HSZLng230v7pLmoMyVVsG6OpoeqxCrMQXWVamU/80oQTz4YU/Y+dLdhYkn4IKz4L7vJ/F5bP3Wvnjxotk4KA==" workbookSaltValue="WD95pXHTILx9NuaLqtdkug==" workbookSpinCount="100000" lockStructure="1"/>
  <bookViews>
    <workbookView xWindow="-105" yWindow="-105" windowWidth="23250" windowHeight="10815" tabRatio="869"/>
  </bookViews>
  <sheets>
    <sheet name="AiSEG2及び関連部材の見積作成" sheetId="1" r:id="rId1"/>
    <sheet name="AiSEG2拾い出し算出シート" sheetId="2" state="hidden" r:id="rId2"/>
    <sheet name="AiSEG2拾い出し選定表" sheetId="4" state="hidden" r:id="rId3"/>
    <sheet name="ZEH等補助金対応システムの見積作成" sheetId="6" state="hidden" r:id="rId4"/>
    <sheet name="補助金拾い出し算出シート" sheetId="7" state="hidden" r:id="rId5"/>
    <sheet name="分岐回路選定表" sheetId="8" state="hidden" r:id="rId6"/>
    <sheet name="補助金対応システム拾い出し選定表" sheetId="9" state="hidden" r:id="rId7"/>
    <sheet name="履歴表" sheetId="5" state="hidden" r:id="rId8"/>
    <sheet name="計測回路用部材表" sheetId="10" state="hidden" r:id="rId9"/>
    <sheet name="ZEH,ZEH+補助金拾い出し例" sheetId="13" state="hidden" r:id="rId10"/>
    <sheet name="ZEH,ZEH+補助金拾い出し例(詳細)" sheetId="11" state="hidden" r:id="rId11"/>
    <sheet name="HEMSシステム構成拾い出し表" sheetId="12" state="hidden" r:id="rId12"/>
    <sheet name="Sheet1" sheetId="14" state="hidden" r:id="rId13"/>
    <sheet name="Sheet2" sheetId="15" state="hidden" r:id="rId14"/>
  </sheets>
  <definedNames>
    <definedName name="AISEG">AiSEG2拾い出し算出シート!$A$52:$A$53</definedName>
    <definedName name="AiSEG2">補助金拾い出し算出シート!$B$52:$B$53</definedName>
    <definedName name="AISEG用エネルギー計測ユニット">AiSEG2拾い出し算出シート!$A$87:$A$88</definedName>
    <definedName name="AISEG用エネルギー計測ユニット増設アダプタセット">AiSEG2拾い出し算出シート!$B$88</definedName>
    <definedName name="COSMO">補助金拾い出し算出シート!$A$52:$A$53</definedName>
    <definedName name="CTケーブル種類">補助金拾い出し算出シート!$A$73:$A$76</definedName>
    <definedName name="CTセット">AiSEG2拾い出し算出シート!$A$91:$A$94</definedName>
    <definedName name="CTセンサ種類">補助金拾い出し算出シート!$A$57:$A$60</definedName>
    <definedName name="ECOEYE">補助金拾い出し算出シート!$A$50:$A$51</definedName>
    <definedName name="EHFS55MP3B">AiSEG2拾い出し算出シート!$A$76</definedName>
    <definedName name="EHFS99MP5B">AiSEG2拾い出し算出シート!$A$76</definedName>
    <definedName name="ESST1">AiSEG2拾い出し算出シート!$A$79</definedName>
    <definedName name="ESST3">AiSEG2拾い出し算出シート!$A$78</definedName>
    <definedName name="HMGW03">補助金拾い出し算出シート!$A$50:$A$51</definedName>
    <definedName name="HQDK401">補助金拾い出し算出シート!$A$23:$A$24</definedName>
    <definedName name="HQDK551">補助金拾い出し算出シート!$A$23:$A$24</definedName>
    <definedName name="HQDM061HM">補助金拾い出し算出シート!$A$44:$A$45</definedName>
    <definedName name="HQDM061HY">補助金拾い出し算出シート!$A$44:$A$45</definedName>
    <definedName name="HQDRA451">補助金拾い出し算出シート!$A$23:$A$24</definedName>
    <definedName name="HQDRA551">補助金拾い出し算出シート!$A$23:$A$24</definedName>
    <definedName name="HQDRA551E">補助金拾い出し算出シート!$A$23:$A$24</definedName>
    <definedName name="HQJBH55RA1">AiSEG2拾い出し算出シート!$A$58:$A$59</definedName>
    <definedName name="HQJBH55RA1N">補助金拾い出し算出シート!$A$46:$A$47</definedName>
    <definedName name="HQJBH55RA1P">補助金拾い出し算出シート!$A$46</definedName>
    <definedName name="HQJPK30A2">AiSEG2拾い出し算出シート!$A$64:$A$67</definedName>
    <definedName name="HQJPK30A2N">補助金拾い出し算出シート!$A$46:$A$47</definedName>
    <definedName name="HQJPK30A2P">補助金拾い出し算出シート!$A$46</definedName>
    <definedName name="HQJPK40A2">AiSEG2拾い出し算出シート!$A$64:$A$67</definedName>
    <definedName name="HQJPK40A2N">補助金拾い出し算出シート!$A$46:$A$47</definedName>
    <definedName name="HQJPK40A2P">補助金拾い出し算出シート!$A$46</definedName>
    <definedName name="HQJPK55A2">AiSEG2拾い出し算出シート!$A$64:$A$67</definedName>
    <definedName name="HQJPK55A2N">補助金拾い出し算出シート!$A$46:$A$47</definedName>
    <definedName name="HQJPK55A2P">補助金拾い出し算出シート!$A$46</definedName>
    <definedName name="HQJPKA303">AiSEG2拾い出し算出シート!$A$66:$A$73</definedName>
    <definedName name="HQJPKA305">AiSEG2拾い出し算出シート!$A$66:$A$73</definedName>
    <definedName name="HQJPKA403">AiSEG2拾い出し算出シート!$A$66:$A$73</definedName>
    <definedName name="HQJPKA405">AiSEG2拾い出し算出シート!$A$66:$A$73</definedName>
    <definedName name="HQJPKA553">AiSEG2拾い出し算出シート!$A$66:$A$73</definedName>
    <definedName name="HQJPKA555">AiSEG2拾い出し算出シート!$A$66:$A$73</definedName>
    <definedName name="HQJPM55A2">AiSEG2拾い出し算出シート!$A$60:$A$67</definedName>
    <definedName name="HQJPM55A2N">補助金拾い出し算出シート!$A$46:$A$47</definedName>
    <definedName name="HQJPM55A2P">補助金拾い出し算出シート!$A$46</definedName>
    <definedName name="HQJPMA553">AiSEG2拾い出し算出シート!$A$66:$A$73</definedName>
    <definedName name="HQJPMA553N">補助金拾い出し算出シート!$A$35:$A$36</definedName>
    <definedName name="HQJPMA553P">補助金拾い出し算出シート!$A$35:$A$36</definedName>
    <definedName name="HQJPMA554">AiSEG2拾い出し算出シート!$A$66:$A$73</definedName>
    <definedName name="HQJPMSETA2">補助金拾い出し算出シート!$A$46</definedName>
    <definedName name="HQJPMSETA2HQJPRMA1">補助金拾い出し算出シート!$A$46</definedName>
    <definedName name="HQJPMSETA2HY">補助金拾い出し算出シート!$A$46</definedName>
    <definedName name="HQJPR44A2">AiSEG2拾い出し算出シート!$A$60:$A$63</definedName>
    <definedName name="HQJPR44A2N">補助金拾い出し算出シート!$A$46:$A$47</definedName>
    <definedName name="HQJPR44A2P">補助金拾い出し算出シート!$A$46</definedName>
    <definedName name="HQJPR55A2">AiSEG2拾い出し算出シート!$A$60:$A$63</definedName>
    <definedName name="HQJPR55A2N">補助金拾い出し算出シート!$A$46:$A$47</definedName>
    <definedName name="HQJPR55A2P">補助金拾い出し算出シート!$A$46</definedName>
    <definedName name="HQJPRA443">AiSEG2拾い出し算出シート!$A$66:$A$73</definedName>
    <definedName name="HQJPRA444">AiSEG2拾い出し算出シート!$A$66:$A$73</definedName>
    <definedName name="HQJPRA445">AiSEG2拾い出し算出シート!$A$66:$A$73</definedName>
    <definedName name="HQJPRA553">AiSEG2拾い出し算出シート!$A$66:$A$73</definedName>
    <definedName name="HQJPRA554">AiSEG2拾い出し算出シート!$A$66:$A$73</definedName>
    <definedName name="HQJPRA555">AiSEG2拾い出し算出シート!$A$66:$A$73</definedName>
    <definedName name="KP30K3HQ">AiSEG2拾い出し算出シート!$A$74</definedName>
    <definedName name="KP40K3HQ">AiSEG2拾い出し算出シート!$A$74</definedName>
    <definedName name="KP44M2J4HQ">AiSEG2拾い出し算出シート!$A$74</definedName>
    <definedName name="KP48RJ3HQ">AiSEG2拾い出し算出シート!$A$74</definedName>
    <definedName name="KP55K3HQ">AiSEG2拾い出し算出シート!$A$74</definedName>
    <definedName name="KP55M2J4HQ">AiSEG2拾い出し算出シート!$A$74</definedName>
    <definedName name="KP55S3HY3A">補助金拾い出し算出シート!$A$25</definedName>
    <definedName name="KP59RJ4HQ">AiSEG2拾い出し算出シート!$A$74</definedName>
    <definedName name="KPBPA">AiSEG2拾い出し算出シート!$A$77</definedName>
    <definedName name="KPKA40">AiSEG2拾い出し算出シート!$A$74</definedName>
    <definedName name="KPKA40HQ">AiSEG2拾い出し算出シート!$A$74</definedName>
    <definedName name="KPKA55">AiSEG2拾い出し算出シート!$A$74</definedName>
    <definedName name="KPKA55HQ">AiSEG2拾い出し算出シート!$A$74</definedName>
    <definedName name="KPMU2BSET">補助金拾い出し算出シート!$A$40:$A$42</definedName>
    <definedName name="KPMU2BSETP">補助金拾い出し算出シート!$A$40:$A$41</definedName>
    <definedName name="KPMU2BSETなし">補助金拾い出し算出シート!$A$65:$A$66</definedName>
    <definedName name="KPWA55J4">AiSEG2拾い出し算出シート!$A$74</definedName>
    <definedName name="NOTHING">補助金拾い出し算出シート!$A$50</definedName>
    <definedName name="PCS">AiSEG2拾い出し算出シート!$A$2:$A$37</definedName>
    <definedName name="_xlnm.Print_Area" localSheetId="11">HEMSシステム構成拾い出し表!$A$1:$F$36</definedName>
    <definedName name="_xlnm.Print_Area" localSheetId="9">'ZEH,ZEH+補助金拾い出し例'!$A$1:$N$41</definedName>
    <definedName name="_xlnm.Print_Area" localSheetId="10">'ZEH,ZEH+補助金拾い出し例(詳細)'!$A$44:$N$72</definedName>
    <definedName name="Q.READY">AiSEG2拾い出し算出シート!$A$80</definedName>
    <definedName name="ZEH">補助金拾い出し算出シート!$A$6:$A$19</definedName>
    <definedName name="ZEHHQD">補助金拾い出し算出シート!$A$43:$A$45</definedName>
    <definedName name="ZEHHQJ">補助金拾い出し算出シート!$A$46:$A$47</definedName>
    <definedName name="ZEHKP5">補助金拾い出し算出シート!$A$39:$A$42</definedName>
    <definedName name="ZEHP">補助金拾い出し算出シート!$A$6:$A$19</definedName>
    <definedName name="ZEHPHQD">補助金拾い出し算出シート!$A$43:$A$45</definedName>
    <definedName name="ZEHPHQJ">補助金拾い出し算出シート!$A$46</definedName>
    <definedName name="ZEHPKP5">補助金拾い出し算出シート!$A$39:$A$41</definedName>
    <definedName name="エネルギー計測ユニット">AiSEG2拾い出し算出シート!$A$84:$A$85</definedName>
    <definedName name="ハイブリッドパワコンHQJBH55RA1">AiSEG2拾い出し算出シート!$A$58:$A$59</definedName>
    <definedName name="モニター機能付">AiSEG2拾い出し算出シート!$A$55:$A$56</definedName>
    <definedName name="外部発電機用電流センサケーブル">補助金拾い出し算出シート!$A$102:$A$107</definedName>
    <definedName name="計測ユニットセンサオプション1">補助金拾い出し算出シート!$A$61:$A$64</definedName>
    <definedName name="計測ユニットセンサオプション2">補助金拾い出し算出シート!$A$77:$A$79</definedName>
    <definedName name="計測回路増設アダプタ">AiSEG2拾い出し算出シート!$A$87:$A$88</definedName>
    <definedName name="主幹外部発電機用">補助金拾い出し算出シート!$A$92:$A$94</definedName>
    <definedName name="主幹用延長">AiSEG2拾い出し算出シート!$A$97:$A$101</definedName>
    <definedName name="出力制御">AiSEG2拾い出し算出シート!$A$45:$A$46</definedName>
    <definedName name="電流センサ増設用">補助金拾い出し算出シート!$A$85:$A$86</definedName>
    <definedName name="電流センサ増設用ケーブル">補助金拾い出し算出シート!$A$94:$A$95</definedName>
    <definedName name="電流センサ増設用セット">補助金拾い出し算出シート!$A$67:$A$69</definedName>
    <definedName name="電力計測電流センサ">補助金拾い出し算出シート!$A$96:$A$99</definedName>
    <definedName name="発電電力計測用電流センサ">補助金拾い出し算出シート!$A$89:$A$90</definedName>
    <definedName name="分岐計測用電流センサ">補助金拾い出し算出シート!$A$66:$A$67</definedName>
    <definedName name="分岐計測用電流センサケーブル">補助金拾い出し算出シート!$A$80:$A$84</definedName>
    <definedName name="分岐用延長">AiSEG2拾い出し算出シート!$A$104:$A$110</definedName>
    <definedName name="分電盤">AiSEG2拾い出し算出シート!$A$48:$A$50</definedName>
    <definedName name="補助金PCS">補助金拾い出し算出シート!$A$14:$A$19</definedName>
    <definedName name="補助金種類">補助金拾い出し算出シート!$A$2:$A$3</definedName>
    <definedName name="補助金分電盤">補助金拾い出し算出シート!$A$50:$A$51</definedName>
    <definedName name="本数">AiSEG2拾い出し算出シート!$B$113:$B$116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9" i="1" l="1"/>
  <c r="K14" i="2" l="1"/>
  <c r="B26" i="1"/>
  <c r="F4" i="2" l="1"/>
  <c r="F10" i="2"/>
  <c r="K11" i="2" s="1"/>
  <c r="F9" i="2" l="1"/>
  <c r="B9" i="1" l="1"/>
  <c r="B22" i="2"/>
  <c r="B21" i="2"/>
  <c r="B11" i="2"/>
  <c r="B10" i="2"/>
  <c r="B9" i="2"/>
  <c r="K3" i="2" l="1"/>
  <c r="K6" i="2" l="1"/>
  <c r="B70" i="2"/>
  <c r="B20" i="2"/>
  <c r="B19" i="2"/>
  <c r="B23" i="2"/>
  <c r="B24" i="2"/>
  <c r="B14" i="2"/>
  <c r="B15" i="2"/>
  <c r="B77" i="2"/>
  <c r="B80" i="2"/>
  <c r="B41" i="2"/>
  <c r="K2" i="2" l="1"/>
  <c r="B79" i="2"/>
  <c r="F5" i="2"/>
  <c r="F3" i="2"/>
  <c r="F2" i="2"/>
  <c r="B78" i="2"/>
  <c r="C59" i="2"/>
  <c r="B71" i="2"/>
  <c r="B72" i="2"/>
  <c r="B73" i="2"/>
  <c r="B40" i="2"/>
  <c r="B39" i="2"/>
  <c r="C2" i="2" s="1"/>
  <c r="M28" i="2" s="1"/>
  <c r="B38" i="2"/>
  <c r="M29" i="2" l="1"/>
  <c r="K10" i="2"/>
  <c r="K9" i="2"/>
  <c r="F11" i="2"/>
  <c r="J18" i="2"/>
  <c r="B76" i="2"/>
  <c r="B37" i="2"/>
  <c r="B36" i="2"/>
  <c r="K5" i="2" l="1"/>
  <c r="K4" i="2"/>
  <c r="B30" i="2" l="1"/>
  <c r="B29" i="2"/>
  <c r="B33" i="2"/>
  <c r="B17" i="2" l="1"/>
  <c r="B18" i="2"/>
  <c r="B6" i="2"/>
  <c r="B7" i="2"/>
  <c r="B8" i="2"/>
  <c r="C52" i="2" l="1"/>
  <c r="F7" i="2" l="1"/>
  <c r="F5" i="7" l="1"/>
  <c r="D6" i="7"/>
  <c r="F22" i="7"/>
  <c r="C26" i="7" s="1"/>
  <c r="C24" i="7" l="1"/>
  <c r="C25" i="7"/>
  <c r="D23" i="7"/>
  <c r="K13" i="2"/>
  <c r="B68" i="2"/>
  <c r="B69" i="2"/>
  <c r="I19" i="7"/>
  <c r="B11" i="6" l="1"/>
  <c r="K12" i="2"/>
  <c r="B35" i="7"/>
  <c r="J19" i="2" l="1"/>
  <c r="B13" i="2"/>
  <c r="B62" i="2"/>
  <c r="B63" i="2"/>
  <c r="B67" i="2"/>
  <c r="B66" i="2"/>
  <c r="D38" i="7" l="1"/>
  <c r="J4" i="7" l="1"/>
  <c r="J5" i="7"/>
  <c r="K5" i="7" s="1"/>
  <c r="D55" i="7"/>
  <c r="D54" i="7"/>
  <c r="F56" i="7" s="1"/>
  <c r="K9" i="7" l="1"/>
  <c r="I9" i="7" s="1"/>
  <c r="K11" i="7"/>
  <c r="I11" i="7" s="1"/>
  <c r="K13" i="7"/>
  <c r="I13" i="7" s="1"/>
  <c r="K17" i="7"/>
  <c r="I17" i="7" s="1"/>
  <c r="K18" i="7"/>
  <c r="I18" i="7" s="1"/>
  <c r="K41" i="7"/>
  <c r="G14" i="6"/>
  <c r="K46" i="7"/>
  <c r="I14" i="6"/>
  <c r="B114" i="7"/>
  <c r="B65" i="2" l="1"/>
  <c r="B61" i="2"/>
  <c r="B34" i="7"/>
  <c r="C2" i="7" l="1"/>
  <c r="B11" i="7" l="1"/>
  <c r="B10" i="7"/>
  <c r="D2" i="7"/>
  <c r="K57" i="7"/>
  <c r="K56" i="7"/>
  <c r="K55" i="7"/>
  <c r="K54" i="7"/>
  <c r="K53" i="7"/>
  <c r="K52" i="7"/>
  <c r="B14" i="6" l="1"/>
  <c r="H18" i="7" s="1"/>
  <c r="J3" i="7" s="1"/>
  <c r="B75" i="2" l="1"/>
  <c r="B28" i="2"/>
  <c r="B27" i="2"/>
  <c r="J2" i="2" l="1"/>
  <c r="B6" i="7"/>
  <c r="J3" i="2" l="1"/>
  <c r="J4" i="2" s="1"/>
  <c r="B50" i="6"/>
  <c r="C42" i="7"/>
  <c r="K60" i="7"/>
  <c r="K61" i="7"/>
  <c r="K43" i="7"/>
  <c r="K42" i="7"/>
  <c r="K37" i="7"/>
  <c r="K36" i="7"/>
  <c r="K35" i="7"/>
  <c r="K38" i="7"/>
  <c r="K40" i="7"/>
  <c r="K39" i="7"/>
  <c r="K59" i="7"/>
  <c r="K58" i="7"/>
  <c r="C106" i="7"/>
  <c r="J5" i="2" l="1"/>
  <c r="J7" i="7"/>
  <c r="K7" i="7" s="1"/>
  <c r="I7" i="7" s="1"/>
  <c r="K51" i="7"/>
  <c r="K47" i="7"/>
  <c r="K49" i="7"/>
  <c r="K50" i="7"/>
  <c r="K48" i="7"/>
  <c r="K44" i="7"/>
  <c r="K45" i="7"/>
  <c r="C41" i="7"/>
  <c r="J6" i="2" l="1"/>
  <c r="J7" i="2" s="1"/>
  <c r="J6" i="7"/>
  <c r="K6" i="7" s="1"/>
  <c r="B65" i="7"/>
  <c r="E31" i="8" l="1"/>
  <c r="D31" i="8"/>
  <c r="K4" i="7" l="1"/>
  <c r="I4" i="7" s="1"/>
  <c r="I5" i="7" l="1"/>
  <c r="I6" i="7"/>
  <c r="C113" i="2"/>
  <c r="L63" i="2"/>
  <c r="L62" i="2"/>
  <c r="L61" i="2"/>
  <c r="L60" i="2"/>
  <c r="L59" i="2"/>
  <c r="L58" i="2"/>
  <c r="L57" i="2"/>
  <c r="L56" i="2"/>
  <c r="C84" i="2"/>
  <c r="L55" i="2"/>
  <c r="L54" i="2"/>
  <c r="C55" i="2"/>
  <c r="F13" i="2" s="1"/>
  <c r="C48" i="2"/>
  <c r="C45" i="2"/>
  <c r="G5" i="2"/>
  <c r="K7" i="2" s="1"/>
  <c r="G4" i="2"/>
  <c r="G3" i="2"/>
  <c r="G2" i="2"/>
  <c r="C50" i="7"/>
  <c r="D50" i="7" s="1"/>
  <c r="B47" i="7"/>
  <c r="B33" i="7"/>
  <c r="C23" i="7" s="1"/>
  <c r="B26" i="7"/>
  <c r="K8" i="2" l="1"/>
  <c r="J8" i="2" s="1"/>
  <c r="D49" i="7"/>
  <c r="B27" i="6"/>
  <c r="C71" i="7" s="1"/>
  <c r="C72" i="7" s="1"/>
  <c r="B22" i="6"/>
  <c r="C55" i="7" s="1"/>
  <c r="C56" i="7" s="1"/>
  <c r="B32" i="6"/>
  <c r="C88" i="7" s="1"/>
  <c r="B47" i="6"/>
  <c r="C115" i="7"/>
  <c r="C111" i="7"/>
  <c r="C103" i="7"/>
  <c r="B42" i="6"/>
  <c r="B37" i="6"/>
  <c r="C102" i="7" s="1"/>
  <c r="C57" i="7"/>
  <c r="E57" i="7" s="1"/>
  <c r="F57" i="7" s="1"/>
  <c r="F31" i="8"/>
  <c r="G31" i="8" s="1"/>
  <c r="I31" i="8" s="1"/>
  <c r="B13" i="7"/>
  <c r="C6" i="7" s="1"/>
  <c r="B9" i="7"/>
  <c r="B12" i="7"/>
  <c r="B7" i="7"/>
  <c r="B8" i="7"/>
  <c r="B25" i="7"/>
  <c r="B45" i="7"/>
  <c r="B73" i="7"/>
  <c r="C73" i="7" s="1"/>
  <c r="E73" i="7" s="1"/>
  <c r="F73" i="7" s="1"/>
  <c r="B57" i="7"/>
  <c r="B42" i="7"/>
  <c r="C39" i="7" s="1"/>
  <c r="C49" i="7" s="1"/>
  <c r="C89" i="7" l="1"/>
  <c r="C90" i="7"/>
  <c r="J12" i="7" s="1"/>
  <c r="B30" i="6"/>
  <c r="B25" i="6"/>
  <c r="C110" i="7"/>
  <c r="C109" i="7"/>
  <c r="C114" i="7"/>
  <c r="J16" i="7" s="1"/>
  <c r="K16" i="7" s="1"/>
  <c r="I16" i="7" s="1"/>
  <c r="C113" i="7"/>
  <c r="F114" i="7" s="1"/>
  <c r="B17" i="6"/>
  <c r="C101" i="7"/>
  <c r="J14" i="7" s="1"/>
  <c r="K14" i="7" s="1"/>
  <c r="I14" i="7" s="1"/>
  <c r="J8" i="7"/>
  <c r="K8" i="7" s="1"/>
  <c r="I8" i="7" s="1"/>
  <c r="E102" i="7"/>
  <c r="C22" i="7"/>
  <c r="F102" i="7" l="1"/>
  <c r="B40" i="6" s="1"/>
  <c r="J15" i="7"/>
  <c r="K15" i="7" s="1"/>
  <c r="I15" i="7" s="1"/>
  <c r="F110" i="7"/>
  <c r="C38" i="7"/>
  <c r="E89" i="7" l="1"/>
  <c r="F89" i="7" s="1"/>
  <c r="K12" i="7"/>
  <c r="B3" i="2"/>
  <c r="B35" i="6" l="1"/>
  <c r="B81" i="2"/>
  <c r="B42" i="2"/>
  <c r="B88" i="2" l="1"/>
  <c r="C91" i="2" l="1"/>
  <c r="D91" i="2" s="1"/>
  <c r="B45" i="2" l="1"/>
  <c r="B46" i="2"/>
  <c r="B53" i="2"/>
  <c r="B52" i="2"/>
  <c r="B114" i="2"/>
  <c r="B115" i="2"/>
  <c r="B116" i="2"/>
  <c r="B113" i="2"/>
  <c r="B97" i="2"/>
  <c r="C93" i="2" s="1"/>
  <c r="B104" i="2"/>
  <c r="C94" i="2" s="1"/>
  <c r="K17" i="2" s="1"/>
  <c r="B91" i="2"/>
  <c r="C92" i="2" s="1"/>
  <c r="K15" i="2" s="1"/>
  <c r="J15" i="2" s="1"/>
  <c r="J17" i="2" l="1"/>
  <c r="K16" i="2"/>
  <c r="J16" i="2" s="1"/>
  <c r="D93" i="2"/>
  <c r="J9" i="2"/>
  <c r="D92" i="2"/>
  <c r="D94" i="2"/>
  <c r="J10" i="2" l="1"/>
  <c r="D95" i="2"/>
  <c r="C98" i="2" s="1"/>
  <c r="J11" i="2" l="1"/>
  <c r="C99" i="2"/>
  <c r="C100" i="2"/>
  <c r="C101" i="2"/>
  <c r="J12" i="2" l="1"/>
  <c r="B64" i="2"/>
  <c r="B60" i="2"/>
  <c r="B74" i="2"/>
  <c r="B59" i="2"/>
  <c r="J13" i="2" l="1"/>
  <c r="B49" i="2"/>
  <c r="B48" i="2"/>
  <c r="J14" i="2" l="1"/>
  <c r="I6" i="2" s="1"/>
  <c r="I2" i="2"/>
  <c r="F5" i="1" s="1"/>
  <c r="H5" i="1" s="1"/>
  <c r="B50" i="2"/>
  <c r="B35" i="2"/>
  <c r="I3" i="2" l="1"/>
  <c r="F6" i="1" s="1"/>
  <c r="I6" i="1" s="1"/>
  <c r="I4" i="2"/>
  <c r="I5" i="2"/>
  <c r="I7" i="2"/>
  <c r="J5" i="1"/>
  <c r="B4" i="2"/>
  <c r="B5" i="2"/>
  <c r="B12" i="2"/>
  <c r="B16" i="2"/>
  <c r="B25" i="2"/>
  <c r="B26" i="2"/>
  <c r="B31" i="2"/>
  <c r="B32" i="2"/>
  <c r="B34" i="2"/>
  <c r="F7" i="1" l="1"/>
  <c r="I7" i="1" s="1"/>
  <c r="I9" i="2"/>
  <c r="F12" i="1" s="1"/>
  <c r="F8" i="1"/>
  <c r="F9" i="1"/>
  <c r="F10" i="1"/>
  <c r="I12" i="2"/>
  <c r="F15" i="1" s="1"/>
  <c r="I8" i="2"/>
  <c r="I10" i="2"/>
  <c r="F13" i="1" s="1"/>
  <c r="I11" i="2"/>
  <c r="F14" i="1" s="1"/>
  <c r="F11" i="1" l="1"/>
  <c r="I11" i="1" s="1"/>
  <c r="G5" i="1"/>
  <c r="J10" i="1"/>
  <c r="I10" i="1"/>
  <c r="H10" i="1"/>
  <c r="G10" i="1"/>
  <c r="I5" i="1"/>
  <c r="H6" i="1"/>
  <c r="G6" i="1"/>
  <c r="J6" i="1"/>
  <c r="H15" i="1"/>
  <c r="G15" i="1"/>
  <c r="I15" i="1"/>
  <c r="G7" i="1"/>
  <c r="J7" i="1"/>
  <c r="H7" i="1"/>
  <c r="H8" i="1"/>
  <c r="G8" i="1"/>
  <c r="I8" i="1"/>
  <c r="J8" i="1"/>
  <c r="G9" i="1"/>
  <c r="H9" i="1"/>
  <c r="J9" i="1"/>
  <c r="I9" i="1"/>
  <c r="G14" i="1"/>
  <c r="H14" i="1"/>
  <c r="I14" i="1"/>
  <c r="I13" i="1"/>
  <c r="H13" i="1"/>
  <c r="J13" i="1"/>
  <c r="G13" i="1"/>
  <c r="I12" i="1"/>
  <c r="H12" i="1"/>
  <c r="G12" i="1"/>
  <c r="H11" i="1" l="1"/>
  <c r="G11" i="1"/>
  <c r="J11" i="1"/>
  <c r="J10" i="7"/>
  <c r="K10" i="7" l="1"/>
  <c r="I10" i="7" s="1"/>
  <c r="I12" i="7" s="1"/>
  <c r="H12" i="7" l="1"/>
  <c r="H13" i="6" s="1"/>
  <c r="I13" i="6" s="1"/>
  <c r="H4" i="7"/>
  <c r="H5" i="6" s="1"/>
  <c r="H7" i="7"/>
  <c r="H8" i="6" s="1"/>
  <c r="H5" i="7"/>
  <c r="H6" i="6" s="1"/>
  <c r="H6" i="7"/>
  <c r="H7" i="6" s="1"/>
  <c r="H13" i="7"/>
  <c r="H14" i="7"/>
  <c r="H16" i="7"/>
  <c r="H10" i="7"/>
  <c r="H11" i="6" s="1"/>
  <c r="G11" i="6" s="1"/>
  <c r="H15" i="7"/>
  <c r="H17" i="7"/>
  <c r="H11" i="7"/>
  <c r="H12" i="6" s="1"/>
  <c r="F12" i="6" s="1"/>
  <c r="H9" i="7"/>
  <c r="H10" i="6" s="1"/>
  <c r="H8" i="7"/>
  <c r="H9" i="6" s="1"/>
  <c r="G13" i="6" l="1"/>
  <c r="F13" i="6"/>
  <c r="I7" i="6"/>
  <c r="F7" i="6"/>
  <c r="J7" i="6" s="1"/>
  <c r="G7" i="6"/>
  <c r="I6" i="6"/>
  <c r="F6" i="6"/>
  <c r="J6" i="6" s="1"/>
  <c r="G6" i="6"/>
  <c r="I8" i="6"/>
  <c r="G8" i="6"/>
  <c r="F8" i="6"/>
  <c r="J8" i="6" s="1"/>
  <c r="I5" i="6"/>
  <c r="F5" i="6"/>
  <c r="J5" i="6" s="1"/>
  <c r="G5" i="6"/>
  <c r="F11" i="6"/>
  <c r="J11" i="6" s="1"/>
  <c r="I11" i="6"/>
  <c r="G12" i="6"/>
  <c r="I12" i="6"/>
  <c r="F9" i="6"/>
  <c r="J9" i="6" s="1"/>
  <c r="G9" i="6"/>
  <c r="I9" i="6"/>
  <c r="I10" i="6"/>
  <c r="G10" i="6"/>
  <c r="F10" i="6"/>
  <c r="J10" i="6" s="1"/>
  <c r="K3" i="7" l="1"/>
  <c r="H3" i="7" l="1"/>
  <c r="H4" i="6" s="1"/>
  <c r="F4" i="6" s="1"/>
  <c r="J4" i="6" s="1"/>
  <c r="G4" i="6" l="1"/>
  <c r="I4" i="6"/>
</calcChain>
</file>

<file path=xl/comments1.xml><?xml version="1.0" encoding="utf-8"?>
<comments xmlns="http://schemas.openxmlformats.org/spreadsheetml/2006/main">
  <authors>
    <author>Kawano Masahiro</author>
  </authors>
  <commentList>
    <comment ref="B5" authorId="0" shapeId="0">
      <text>
        <r>
          <rPr>
            <sz val="9"/>
            <color indexed="81"/>
            <rFont val="Meiryo UI"/>
            <family val="3"/>
            <charset val="128"/>
          </rPr>
          <t>複数台設置において
ハイブリッドともう1台の場合は
ハイブリッドを選択して下さい。
それ以外の場合、HQJP-Rシリーズが含まれる場合はHQJP-Rシリーズを選択して下さい。</t>
        </r>
      </text>
    </comment>
  </commentList>
</comments>
</file>

<file path=xl/sharedStrings.xml><?xml version="1.0" encoding="utf-8"?>
<sst xmlns="http://schemas.openxmlformats.org/spreadsheetml/2006/main" count="1894" uniqueCount="705">
  <si>
    <t>名前</t>
    <rPh sb="0" eb="2">
      <t>ナマエ</t>
    </rPh>
    <phoneticPr fontId="1"/>
  </si>
  <si>
    <t>一般的な分電盤</t>
    <rPh sb="0" eb="3">
      <t>イッパンテキ</t>
    </rPh>
    <rPh sb="4" eb="7">
      <t>ブンデンバン</t>
    </rPh>
    <phoneticPr fontId="1"/>
  </si>
  <si>
    <t>一般分電盤</t>
    <rPh sb="0" eb="2">
      <t>イッパン</t>
    </rPh>
    <rPh sb="2" eb="5">
      <t>ブンデンバン</t>
    </rPh>
    <phoneticPr fontId="1"/>
  </si>
  <si>
    <t>MKN713</t>
    <phoneticPr fontId="1"/>
  </si>
  <si>
    <t>MKN704</t>
    <phoneticPr fontId="1"/>
  </si>
  <si>
    <t>蓄電用ネットアダプタ</t>
    <rPh sb="0" eb="2">
      <t>チクデン</t>
    </rPh>
    <rPh sb="2" eb="3">
      <t>ヨウ</t>
    </rPh>
    <phoneticPr fontId="1"/>
  </si>
  <si>
    <t>品　名</t>
    <rPh sb="0" eb="1">
      <t>ヒン</t>
    </rPh>
    <rPh sb="2" eb="3">
      <t>メイ</t>
    </rPh>
    <phoneticPr fontId="1"/>
  </si>
  <si>
    <t>型　番</t>
    <rPh sb="0" eb="1">
      <t>カタ</t>
    </rPh>
    <rPh sb="2" eb="3">
      <t>バン</t>
    </rPh>
    <phoneticPr fontId="1"/>
  </si>
  <si>
    <t>数量</t>
    <rPh sb="0" eb="2">
      <t>スウリョウ</t>
    </rPh>
    <phoneticPr fontId="1"/>
  </si>
  <si>
    <t>HQJB-HNA-A1</t>
    <phoneticPr fontId="1"/>
  </si>
  <si>
    <t>KP30K3-HQ</t>
    <phoneticPr fontId="1"/>
  </si>
  <si>
    <t>KP40K3-HQ</t>
    <phoneticPr fontId="1"/>
  </si>
  <si>
    <t>KP55K3-HQ</t>
    <phoneticPr fontId="1"/>
  </si>
  <si>
    <t>KP44M2-J4-HQ</t>
    <phoneticPr fontId="1"/>
  </si>
  <si>
    <t>KP55M2-J4-HQ</t>
    <phoneticPr fontId="1"/>
  </si>
  <si>
    <t>KP48R-J3-HQ</t>
    <phoneticPr fontId="1"/>
  </si>
  <si>
    <t>KP59R-J4-HQ</t>
    <phoneticPr fontId="1"/>
  </si>
  <si>
    <t>HQJP-K30-A2</t>
    <phoneticPr fontId="1"/>
  </si>
  <si>
    <t>HQJP-K40-A2</t>
    <phoneticPr fontId="1"/>
  </si>
  <si>
    <t>HQJP-K55-A2</t>
    <phoneticPr fontId="1"/>
  </si>
  <si>
    <t>HQJP-M55-A2</t>
    <phoneticPr fontId="1"/>
  </si>
  <si>
    <t>HQJP-R44-A2</t>
    <phoneticPr fontId="1"/>
  </si>
  <si>
    <t>HQJP-R55-A2</t>
    <phoneticPr fontId="1"/>
  </si>
  <si>
    <t>パワコン‐リモコン間ケーブル(30m)</t>
    <rPh sb="9" eb="10">
      <t>カン</t>
    </rPh>
    <phoneticPr fontId="1"/>
  </si>
  <si>
    <t>リモコン・送信U間ケーブル(3m)</t>
    <rPh sb="5" eb="7">
      <t>ソウシン</t>
    </rPh>
    <rPh sb="8" eb="9">
      <t>カン</t>
    </rPh>
    <phoneticPr fontId="1"/>
  </si>
  <si>
    <t>POKC300B</t>
    <phoneticPr fontId="1"/>
  </si>
  <si>
    <t>POKC030F</t>
    <phoneticPr fontId="1"/>
  </si>
  <si>
    <t>屋外パワコン用リモコン</t>
    <rPh sb="0" eb="2">
      <t>オクガイ</t>
    </rPh>
    <rPh sb="6" eb="7">
      <t>ヨウ</t>
    </rPh>
    <phoneticPr fontId="1"/>
  </si>
  <si>
    <t>HQJP-RM-A1</t>
    <phoneticPr fontId="1"/>
  </si>
  <si>
    <t>カラーモニタセット</t>
    <phoneticPr fontId="1"/>
  </si>
  <si>
    <t>③出力制御について</t>
    <rPh sb="1" eb="3">
      <t>シュツリョク</t>
    </rPh>
    <rPh sb="3" eb="5">
      <t>セイギョ</t>
    </rPh>
    <phoneticPr fontId="1"/>
  </si>
  <si>
    <t>出力制御を行う</t>
    <rPh sb="0" eb="2">
      <t>シュツリョク</t>
    </rPh>
    <rPh sb="2" eb="4">
      <t>セイギョ</t>
    </rPh>
    <rPh sb="5" eb="6">
      <t>オコナ</t>
    </rPh>
    <phoneticPr fontId="1"/>
  </si>
  <si>
    <t>出力制御を行わない</t>
    <rPh sb="0" eb="2">
      <t>シュツリョク</t>
    </rPh>
    <rPh sb="2" eb="4">
      <t>セイギョ</t>
    </rPh>
    <rPh sb="5" eb="6">
      <t>オコナ</t>
    </rPh>
    <phoneticPr fontId="1"/>
  </si>
  <si>
    <t>太陽光用ネットアダプタ</t>
    <rPh sb="0" eb="3">
      <t>タイヨウコウ</t>
    </rPh>
    <rPh sb="3" eb="4">
      <t>ヨウ</t>
    </rPh>
    <phoneticPr fontId="1"/>
  </si>
  <si>
    <t>出力制御あり</t>
    <rPh sb="0" eb="2">
      <t>シュツリョク</t>
    </rPh>
    <rPh sb="2" eb="4">
      <t>セイギョ</t>
    </rPh>
    <phoneticPr fontId="1"/>
  </si>
  <si>
    <t>出力制御なし</t>
    <rPh sb="0" eb="2">
      <t>シュツリョク</t>
    </rPh>
    <rPh sb="2" eb="4">
      <t>セイギョ</t>
    </rPh>
    <phoneticPr fontId="1"/>
  </si>
  <si>
    <t>MKN73318</t>
    <phoneticPr fontId="1"/>
  </si>
  <si>
    <t>蓄電ネットアダプタ</t>
    <rPh sb="0" eb="2">
      <t>チクデン</t>
    </rPh>
    <phoneticPr fontId="1"/>
  </si>
  <si>
    <t>名前定義用</t>
    <rPh sb="0" eb="2">
      <t>ナマエ</t>
    </rPh>
    <rPh sb="2" eb="4">
      <t>テイギ</t>
    </rPh>
    <rPh sb="4" eb="5">
      <t>ヨウ</t>
    </rPh>
    <phoneticPr fontId="1"/>
  </si>
  <si>
    <t>コード1</t>
    <phoneticPr fontId="1"/>
  </si>
  <si>
    <t>コード2</t>
  </si>
  <si>
    <t>組合せコード</t>
    <rPh sb="0" eb="2">
      <t>クミアワ</t>
    </rPh>
    <phoneticPr fontId="1"/>
  </si>
  <si>
    <t>モニタ選択判別用コード</t>
    <rPh sb="3" eb="5">
      <t>センタク</t>
    </rPh>
    <rPh sb="5" eb="7">
      <t>ハンベツ</t>
    </rPh>
    <rPh sb="7" eb="8">
      <t>ヨウ</t>
    </rPh>
    <phoneticPr fontId="1"/>
  </si>
  <si>
    <t>品名</t>
    <rPh sb="0" eb="2">
      <t>ヒンメイ</t>
    </rPh>
    <phoneticPr fontId="1"/>
  </si>
  <si>
    <t>品番</t>
    <rPh sb="0" eb="2">
      <t>ヒンバン</t>
    </rPh>
    <phoneticPr fontId="1"/>
  </si>
  <si>
    <t>数量</t>
    <rPh sb="0" eb="2">
      <t>スウリョウ</t>
    </rPh>
    <phoneticPr fontId="1"/>
  </si>
  <si>
    <t>MKN73301</t>
    <phoneticPr fontId="1"/>
  </si>
  <si>
    <t>余剰用カラーモニタセット</t>
    <rPh sb="0" eb="2">
      <t>ヨジョウ</t>
    </rPh>
    <rPh sb="2" eb="3">
      <t>ヨウ</t>
    </rPh>
    <phoneticPr fontId="1"/>
  </si>
  <si>
    <t>KP-MU1P-SET-HQ</t>
    <phoneticPr fontId="1"/>
  </si>
  <si>
    <t>KP-MU1P-SET-HQ</t>
    <phoneticPr fontId="1"/>
  </si>
  <si>
    <t>モニタリングユニット</t>
    <phoneticPr fontId="1"/>
  </si>
  <si>
    <t>HEMS連携計測ユニット</t>
    <rPh sb="4" eb="6">
      <t>レンケイ</t>
    </rPh>
    <rPh sb="6" eb="8">
      <t>ケイソク</t>
    </rPh>
    <phoneticPr fontId="1"/>
  </si>
  <si>
    <t>備考</t>
    <rPh sb="0" eb="2">
      <t>ビコウ</t>
    </rPh>
    <phoneticPr fontId="1"/>
  </si>
  <si>
    <t>PCS依存</t>
    <rPh sb="3" eb="5">
      <t>イゾン</t>
    </rPh>
    <phoneticPr fontId="1"/>
  </si>
  <si>
    <t>モニタ依存</t>
    <rPh sb="3" eb="5">
      <t>イゾン</t>
    </rPh>
    <phoneticPr fontId="1"/>
  </si>
  <si>
    <t>単位</t>
    <rPh sb="0" eb="2">
      <t>タンイ</t>
    </rPh>
    <phoneticPr fontId="1"/>
  </si>
  <si>
    <t>セット</t>
    <phoneticPr fontId="1"/>
  </si>
  <si>
    <t>個</t>
    <rPh sb="0" eb="1">
      <t>コ</t>
    </rPh>
    <phoneticPr fontId="1"/>
  </si>
  <si>
    <t>本</t>
    <rPh sb="0" eb="1">
      <t>ホン</t>
    </rPh>
    <phoneticPr fontId="1"/>
  </si>
  <si>
    <t>台</t>
    <rPh sb="0" eb="1">
      <t>ダイ</t>
    </rPh>
    <phoneticPr fontId="1"/>
  </si>
  <si>
    <t>セット</t>
    <phoneticPr fontId="1"/>
  </si>
  <si>
    <t>注1　このHEMS拾い出しは余剰買取システムの場合のみの選択になります。</t>
    <rPh sb="0" eb="1">
      <t>チュウ</t>
    </rPh>
    <rPh sb="9" eb="10">
      <t>ヒロ</t>
    </rPh>
    <rPh sb="11" eb="12">
      <t>ダ</t>
    </rPh>
    <rPh sb="14" eb="16">
      <t>ヨジョウ</t>
    </rPh>
    <rPh sb="16" eb="18">
      <t>カイトリ</t>
    </rPh>
    <rPh sb="23" eb="25">
      <t>バアイ</t>
    </rPh>
    <rPh sb="28" eb="30">
      <t>センタク</t>
    </rPh>
    <phoneticPr fontId="1"/>
  </si>
  <si>
    <t>HQJP-MSET-A2-HY</t>
    <phoneticPr fontId="1"/>
  </si>
  <si>
    <t>HQJP-MSET-A2-HY</t>
    <phoneticPr fontId="1"/>
  </si>
  <si>
    <t>MKN74310</t>
    <phoneticPr fontId="1"/>
  </si>
  <si>
    <t>MKN74320</t>
    <phoneticPr fontId="1"/>
  </si>
  <si>
    <t>MKN74330</t>
    <phoneticPr fontId="1"/>
  </si>
  <si>
    <t>CT延長ケーブル(主幹用)　3m</t>
    <rPh sb="2" eb="4">
      <t>エンチョウ</t>
    </rPh>
    <rPh sb="9" eb="11">
      <t>シュカン</t>
    </rPh>
    <rPh sb="11" eb="12">
      <t>ヨウ</t>
    </rPh>
    <phoneticPr fontId="1"/>
  </si>
  <si>
    <t>CT延長ケーブル(主幹用)　10m</t>
    <rPh sb="2" eb="4">
      <t>エンチョウ</t>
    </rPh>
    <rPh sb="9" eb="11">
      <t>シュカン</t>
    </rPh>
    <rPh sb="11" eb="12">
      <t>ヨウ</t>
    </rPh>
    <phoneticPr fontId="1"/>
  </si>
  <si>
    <t>CT延長ケーブル(主幹用)　20m</t>
    <rPh sb="2" eb="4">
      <t>エンチョウ</t>
    </rPh>
    <rPh sb="9" eb="11">
      <t>シュカン</t>
    </rPh>
    <rPh sb="11" eb="12">
      <t>ヨウ</t>
    </rPh>
    <phoneticPr fontId="1"/>
  </si>
  <si>
    <t>CT延長ケーブル(主幹用)　30m</t>
    <rPh sb="2" eb="4">
      <t>エンチョウ</t>
    </rPh>
    <rPh sb="9" eb="11">
      <t>シュカン</t>
    </rPh>
    <rPh sb="11" eb="12">
      <t>ヨウ</t>
    </rPh>
    <phoneticPr fontId="1"/>
  </si>
  <si>
    <t>MKN745015</t>
    <phoneticPr fontId="1"/>
  </si>
  <si>
    <t>MKN74603</t>
    <phoneticPr fontId="1"/>
  </si>
  <si>
    <t>MKN74610</t>
    <phoneticPr fontId="1"/>
  </si>
  <si>
    <t>MKN74620</t>
    <phoneticPr fontId="1"/>
  </si>
  <si>
    <t>MKN74630</t>
    <phoneticPr fontId="1"/>
  </si>
  <si>
    <t>MKN74501</t>
    <phoneticPr fontId="1"/>
  </si>
  <si>
    <t>MKN74503</t>
  </si>
  <si>
    <t>MKN74510</t>
    <phoneticPr fontId="1"/>
  </si>
  <si>
    <t>MKN74520</t>
    <phoneticPr fontId="1"/>
  </si>
  <si>
    <t>MKN74530</t>
    <phoneticPr fontId="1"/>
  </si>
  <si>
    <t>本</t>
    <rPh sb="0" eb="1">
      <t>ホン</t>
    </rPh>
    <phoneticPr fontId="1"/>
  </si>
  <si>
    <t>CT延長ケーブル(分岐用)　1m</t>
    <rPh sb="2" eb="4">
      <t>エンチョウ</t>
    </rPh>
    <rPh sb="9" eb="11">
      <t>ブンキ</t>
    </rPh>
    <rPh sb="11" eb="12">
      <t>ヨウ</t>
    </rPh>
    <phoneticPr fontId="1"/>
  </si>
  <si>
    <t>CT延長ケーブル(分岐用)　1.5m</t>
    <rPh sb="2" eb="4">
      <t>エンチョウ</t>
    </rPh>
    <rPh sb="9" eb="11">
      <t>ブンキ</t>
    </rPh>
    <rPh sb="11" eb="12">
      <t>ヨウ</t>
    </rPh>
    <phoneticPr fontId="1"/>
  </si>
  <si>
    <t>CT延長ケーブル(分岐用)　3m</t>
    <rPh sb="2" eb="4">
      <t>エンチョウ</t>
    </rPh>
    <rPh sb="9" eb="11">
      <t>ブンキ</t>
    </rPh>
    <rPh sb="11" eb="12">
      <t>ヨウ</t>
    </rPh>
    <phoneticPr fontId="1"/>
  </si>
  <si>
    <t>CT延長ケーブル(分岐用)　20m</t>
    <rPh sb="2" eb="4">
      <t>エンチョウ</t>
    </rPh>
    <rPh sb="9" eb="11">
      <t>ブンキ</t>
    </rPh>
    <rPh sb="11" eb="12">
      <t>ヨウ</t>
    </rPh>
    <phoneticPr fontId="1"/>
  </si>
  <si>
    <t>CT延長ケーブル(分岐用)　30m</t>
    <rPh sb="2" eb="4">
      <t>エンチョウ</t>
    </rPh>
    <rPh sb="9" eb="11">
      <t>ブンキ</t>
    </rPh>
    <rPh sb="11" eb="12">
      <t>ヨウ</t>
    </rPh>
    <phoneticPr fontId="1"/>
  </si>
  <si>
    <t>選択されたオプション</t>
    <rPh sb="0" eb="2">
      <t>センタク</t>
    </rPh>
    <phoneticPr fontId="1"/>
  </si>
  <si>
    <t>このコードで右の部材を選択</t>
    <rPh sb="6" eb="7">
      <t>ミギ</t>
    </rPh>
    <rPh sb="8" eb="10">
      <t>ブザイ</t>
    </rPh>
    <rPh sb="11" eb="13">
      <t>センタク</t>
    </rPh>
    <phoneticPr fontId="1"/>
  </si>
  <si>
    <t>HQJPのMとRのモニタ組合せ</t>
    <rPh sb="12" eb="14">
      <t>クミアワ</t>
    </rPh>
    <phoneticPr fontId="1"/>
  </si>
  <si>
    <t>コード1：パワコンメーカによる判別</t>
    <rPh sb="15" eb="17">
      <t>ハンベツ</t>
    </rPh>
    <phoneticPr fontId="1"/>
  </si>
  <si>
    <t>コード2：モニタ選択による判別</t>
    <rPh sb="8" eb="10">
      <t>センタク</t>
    </rPh>
    <rPh sb="13" eb="15">
      <t>ハンベツ</t>
    </rPh>
    <phoneticPr fontId="1"/>
  </si>
  <si>
    <t>CT延長ケーブル(分岐用)　10m</t>
    <rPh sb="2" eb="4">
      <t>エンチョウ</t>
    </rPh>
    <rPh sb="9" eb="11">
      <t>ブンキ</t>
    </rPh>
    <rPh sb="11" eb="12">
      <t>ヨウ</t>
    </rPh>
    <phoneticPr fontId="1"/>
  </si>
  <si>
    <t>なし</t>
    <phoneticPr fontId="1"/>
  </si>
  <si>
    <t>なし</t>
    <phoneticPr fontId="1"/>
  </si>
  <si>
    <t>CTセット</t>
    <phoneticPr fontId="1"/>
  </si>
  <si>
    <t>主幹用延長</t>
    <rPh sb="0" eb="2">
      <t>シュカン</t>
    </rPh>
    <rPh sb="2" eb="3">
      <t>ヨウ</t>
    </rPh>
    <rPh sb="3" eb="5">
      <t>エンチョウ</t>
    </rPh>
    <phoneticPr fontId="1"/>
  </si>
  <si>
    <t>分岐用延長</t>
    <rPh sb="0" eb="2">
      <t>ブンキ</t>
    </rPh>
    <rPh sb="2" eb="3">
      <t>ヨウ</t>
    </rPh>
    <rPh sb="3" eb="5">
      <t>エンチョウ</t>
    </rPh>
    <phoneticPr fontId="1"/>
  </si>
  <si>
    <t>選択されたオプション（空白削除）</t>
    <rPh sb="0" eb="2">
      <t>センタク</t>
    </rPh>
    <rPh sb="11" eb="13">
      <t>クウハク</t>
    </rPh>
    <rPh sb="13" eb="15">
      <t>サクジョ</t>
    </rPh>
    <phoneticPr fontId="1"/>
  </si>
  <si>
    <t>分岐増設CTセット</t>
    <rPh sb="0" eb="2">
      <t>ブンキ</t>
    </rPh>
    <rPh sb="2" eb="4">
      <t>ゾウセツ</t>
    </rPh>
    <phoneticPr fontId="1"/>
  </si>
  <si>
    <t>主幹用延長ケーブル</t>
    <rPh sb="0" eb="2">
      <t>シュカン</t>
    </rPh>
    <rPh sb="2" eb="3">
      <t>ヨウ</t>
    </rPh>
    <rPh sb="3" eb="5">
      <t>エンチョウ</t>
    </rPh>
    <phoneticPr fontId="1"/>
  </si>
  <si>
    <t>分岐用延長ケーブル</t>
    <rPh sb="0" eb="2">
      <t>ブンキ</t>
    </rPh>
    <rPh sb="2" eb="3">
      <t>ヨウ</t>
    </rPh>
    <rPh sb="3" eb="5">
      <t>エンチョウ</t>
    </rPh>
    <phoneticPr fontId="1"/>
  </si>
  <si>
    <t>分岐用延長ケーブル本数</t>
    <rPh sb="0" eb="2">
      <t>ブンキ</t>
    </rPh>
    <rPh sb="2" eb="3">
      <t>ヨウ</t>
    </rPh>
    <rPh sb="3" eb="5">
      <t>エンチョウ</t>
    </rPh>
    <rPh sb="9" eb="11">
      <t>ホンスウ</t>
    </rPh>
    <phoneticPr fontId="1"/>
  </si>
  <si>
    <t>本数</t>
    <rPh sb="0" eb="2">
      <t>ホンスウ</t>
    </rPh>
    <phoneticPr fontId="1"/>
  </si>
  <si>
    <t>選択された条件及び部材</t>
    <rPh sb="0" eb="2">
      <t>センタク</t>
    </rPh>
    <rPh sb="5" eb="7">
      <t>ジョウケン</t>
    </rPh>
    <rPh sb="7" eb="8">
      <t>オヨ</t>
    </rPh>
    <rPh sb="9" eb="11">
      <t>ブザイ</t>
    </rPh>
    <phoneticPr fontId="1"/>
  </si>
  <si>
    <t>条件選択項目</t>
    <rPh sb="0" eb="2">
      <t>ジョウケン</t>
    </rPh>
    <rPh sb="2" eb="4">
      <t>センタク</t>
    </rPh>
    <rPh sb="4" eb="6">
      <t>コウモク</t>
    </rPh>
    <phoneticPr fontId="1"/>
  </si>
  <si>
    <t>①パワーコンディショナ種類</t>
    <rPh sb="11" eb="13">
      <t>シュルイ</t>
    </rPh>
    <phoneticPr fontId="1"/>
  </si>
  <si>
    <t>←不要な場合見積編集画の数量(変更)に0を入力して下さい。</t>
    <rPh sb="8" eb="10">
      <t>ヘンシュウ</t>
    </rPh>
    <rPh sb="15" eb="17">
      <t>ヘンコウ</t>
    </rPh>
    <rPh sb="21" eb="23">
      <t>ニュウリョク</t>
    </rPh>
    <phoneticPr fontId="1"/>
  </si>
  <si>
    <t>②モニタ種類</t>
    <rPh sb="4" eb="6">
      <t>シュルイ</t>
    </rPh>
    <phoneticPr fontId="1"/>
  </si>
  <si>
    <t>注4  スマートコスモは太陽光発電システムが接続可能な仕様であることをご確認下さい。</t>
    <rPh sb="0" eb="1">
      <t>チュウ</t>
    </rPh>
    <rPh sb="12" eb="15">
      <t>タイヨウコウ</t>
    </rPh>
    <rPh sb="15" eb="17">
      <t>ハツデン</t>
    </rPh>
    <rPh sb="22" eb="24">
      <t>セツゾク</t>
    </rPh>
    <rPh sb="24" eb="26">
      <t>カノウ</t>
    </rPh>
    <rPh sb="27" eb="29">
      <t>シヨウ</t>
    </rPh>
    <rPh sb="36" eb="39">
      <t>カクニンクダ</t>
    </rPh>
    <phoneticPr fontId="1"/>
  </si>
  <si>
    <t>3m</t>
    <phoneticPr fontId="1"/>
  </si>
  <si>
    <t>10m</t>
    <phoneticPr fontId="1"/>
  </si>
  <si>
    <t>20m</t>
    <phoneticPr fontId="1"/>
  </si>
  <si>
    <t>30m</t>
    <phoneticPr fontId="1"/>
  </si>
  <si>
    <t>1m</t>
    <phoneticPr fontId="1"/>
  </si>
  <si>
    <t>1.5m</t>
    <phoneticPr fontId="1"/>
  </si>
  <si>
    <t>CT30A　10回路</t>
    <phoneticPr fontId="1"/>
  </si>
  <si>
    <t>CT30A　20回路</t>
    <phoneticPr fontId="1"/>
  </si>
  <si>
    <t>CT30A　30回路</t>
    <phoneticPr fontId="1"/>
  </si>
  <si>
    <t>スマートコスモ(太陽光用ネットアダプタ内蔵)</t>
    <rPh sb="8" eb="10">
      <t>タイヨウ</t>
    </rPh>
    <rPh sb="10" eb="11">
      <t>コウ</t>
    </rPh>
    <rPh sb="11" eb="12">
      <t>ヨウ</t>
    </rPh>
    <rPh sb="19" eb="21">
      <t>ナイゾウ</t>
    </rPh>
    <phoneticPr fontId="1"/>
  </si>
  <si>
    <t>スマートコスモ(太陽光用ネットアダプタなし)</t>
    <rPh sb="8" eb="10">
      <t>タイヨウ</t>
    </rPh>
    <rPh sb="10" eb="11">
      <t>コウ</t>
    </rPh>
    <rPh sb="11" eb="12">
      <t>ヨウ</t>
    </rPh>
    <phoneticPr fontId="1"/>
  </si>
  <si>
    <t>←38本以下で数字を入力して下さい。</t>
    <rPh sb="3" eb="4">
      <t>ホン</t>
    </rPh>
    <rPh sb="4" eb="6">
      <t>イカ</t>
    </rPh>
    <rPh sb="7" eb="9">
      <t>スウジ</t>
    </rPh>
    <rPh sb="10" eb="12">
      <t>ニュウリョク</t>
    </rPh>
    <rPh sb="14" eb="15">
      <t>クダ</t>
    </rPh>
    <phoneticPr fontId="1"/>
  </si>
  <si>
    <t>概要と作成手順</t>
    <rPh sb="0" eb="2">
      <t>ガイヨウ</t>
    </rPh>
    <rPh sb="3" eb="5">
      <t>サクセイ</t>
    </rPh>
    <rPh sb="5" eb="7">
      <t>テジュン</t>
    </rPh>
    <phoneticPr fontId="1"/>
  </si>
  <si>
    <t>なし</t>
    <phoneticPr fontId="1"/>
  </si>
  <si>
    <t>一般的な分電盤を選択した場合のエネルギー計測ユニットの選択</t>
    <rPh sb="0" eb="3">
      <t>イッパンテキ</t>
    </rPh>
    <rPh sb="4" eb="7">
      <t>ブンデンバン</t>
    </rPh>
    <rPh sb="8" eb="10">
      <t>センタク</t>
    </rPh>
    <rPh sb="12" eb="14">
      <t>バアイ</t>
    </rPh>
    <rPh sb="20" eb="22">
      <t>ケイソク</t>
    </rPh>
    <rPh sb="27" eb="29">
      <t>センタク</t>
    </rPh>
    <phoneticPr fontId="1"/>
  </si>
  <si>
    <t>計測回路増設アダプタ</t>
  </si>
  <si>
    <t>計測回路増設アダプタ</t>
    <rPh sb="0" eb="2">
      <t>ケイソク</t>
    </rPh>
    <rPh sb="2" eb="4">
      <t>カイロ</t>
    </rPh>
    <rPh sb="4" eb="6">
      <t>ゾウセツ</t>
    </rPh>
    <phoneticPr fontId="1"/>
  </si>
  <si>
    <t>MKN7331</t>
    <phoneticPr fontId="1"/>
  </si>
  <si>
    <t>←プルダウンメニューから数字を入力して下さい。</t>
    <rPh sb="12" eb="14">
      <t>スウジ</t>
    </rPh>
    <rPh sb="15" eb="17">
      <t>ニュウリョク</t>
    </rPh>
    <rPh sb="19" eb="20">
      <t>クダ</t>
    </rPh>
    <phoneticPr fontId="1"/>
  </si>
  <si>
    <t>計測回路増設アダプタ</t>
    <phoneticPr fontId="1"/>
  </si>
  <si>
    <t>なし</t>
    <phoneticPr fontId="1"/>
  </si>
  <si>
    <t>選択コード</t>
    <rPh sb="0" eb="2">
      <t>センタク</t>
    </rPh>
    <phoneticPr fontId="1"/>
  </si>
  <si>
    <t>⑥設置する分電盤の種類</t>
    <rPh sb="1" eb="3">
      <t>セッチ</t>
    </rPh>
    <rPh sb="5" eb="8">
      <t>ブンデンバン</t>
    </rPh>
    <rPh sb="9" eb="11">
      <t>シュルイ</t>
    </rPh>
    <phoneticPr fontId="1"/>
  </si>
  <si>
    <t>⑤7型モニター機能付き用電源について</t>
    <rPh sb="2" eb="3">
      <t>ガタ</t>
    </rPh>
    <rPh sb="7" eb="9">
      <t>キノウ</t>
    </rPh>
    <rPh sb="9" eb="10">
      <t>ツ</t>
    </rPh>
    <rPh sb="11" eb="12">
      <t>ヨウ</t>
    </rPh>
    <rPh sb="12" eb="14">
      <t>デンゲン</t>
    </rPh>
    <phoneticPr fontId="1"/>
  </si>
  <si>
    <t>必要</t>
    <rPh sb="0" eb="2">
      <t>ヒツヨウ</t>
    </rPh>
    <phoneticPr fontId="1"/>
  </si>
  <si>
    <t>⑧計測ユニット増設用アダプタ選択</t>
    <rPh sb="9" eb="10">
      <t>ヨウ</t>
    </rPh>
    <rPh sb="14" eb="16">
      <t>センタク</t>
    </rPh>
    <phoneticPr fontId="1"/>
  </si>
  <si>
    <t>⑨計測ユニット分岐増設CTセット数量選択</t>
    <rPh sb="1" eb="3">
      <t>ケイソク</t>
    </rPh>
    <rPh sb="2" eb="3">
      <t>ソク</t>
    </rPh>
    <rPh sb="7" eb="9">
      <t>ブンキ</t>
    </rPh>
    <rPh sb="9" eb="11">
      <t>ゾウセツ</t>
    </rPh>
    <rPh sb="16" eb="18">
      <t>スウリョウ</t>
    </rPh>
    <rPh sb="18" eb="20">
      <t>センタク</t>
    </rPh>
    <phoneticPr fontId="1"/>
  </si>
  <si>
    <t>⑩主幹用CT延長ケーブル選択(長さと本数)</t>
    <rPh sb="1" eb="3">
      <t>シュカン</t>
    </rPh>
    <rPh sb="3" eb="4">
      <t>ヨウ</t>
    </rPh>
    <rPh sb="6" eb="8">
      <t>エンチョウ</t>
    </rPh>
    <rPh sb="12" eb="14">
      <t>センタク</t>
    </rPh>
    <rPh sb="15" eb="16">
      <t>ナガ</t>
    </rPh>
    <rPh sb="18" eb="20">
      <t>ホンスウ</t>
    </rPh>
    <phoneticPr fontId="1"/>
  </si>
  <si>
    <t>⑪分岐用CT延長ケーブル選択(長さと本数)</t>
    <rPh sb="1" eb="3">
      <t>ブンキ</t>
    </rPh>
    <rPh sb="3" eb="4">
      <t>ヨウ</t>
    </rPh>
    <rPh sb="6" eb="8">
      <t>エンチョウ</t>
    </rPh>
    <rPh sb="12" eb="14">
      <t>センタク</t>
    </rPh>
    <rPh sb="15" eb="16">
      <t>ナガ</t>
    </rPh>
    <phoneticPr fontId="1"/>
  </si>
  <si>
    <t>注3　①～⑥の選択項目が合っていることを確認して下さい。違っている場合は選択項目が
       異なる可能性が有りますのでご注意下さい。</t>
    <rPh sb="0" eb="1">
      <t>チュウ</t>
    </rPh>
    <rPh sb="7" eb="9">
      <t>センタク</t>
    </rPh>
    <rPh sb="9" eb="11">
      <t>コウモク</t>
    </rPh>
    <rPh sb="12" eb="13">
      <t>ア</t>
    </rPh>
    <rPh sb="20" eb="22">
      <t>カクニン</t>
    </rPh>
    <rPh sb="24" eb="25">
      <t>クダ</t>
    </rPh>
    <rPh sb="28" eb="29">
      <t>チガ</t>
    </rPh>
    <rPh sb="33" eb="35">
      <t>バアイ</t>
    </rPh>
    <rPh sb="36" eb="38">
      <t>センタク</t>
    </rPh>
    <rPh sb="38" eb="40">
      <t>コウモク</t>
    </rPh>
    <rPh sb="49" eb="50">
      <t>コト</t>
    </rPh>
    <rPh sb="52" eb="55">
      <t>カノウセイ</t>
    </rPh>
    <rPh sb="56" eb="57">
      <t>ア</t>
    </rPh>
    <rPh sb="63" eb="65">
      <t>チュウイ</t>
    </rPh>
    <rPh sb="65" eb="66">
      <t>クダ</t>
    </rPh>
    <phoneticPr fontId="1"/>
  </si>
  <si>
    <t>台</t>
    <rPh sb="0" eb="1">
      <t>ダイ</t>
    </rPh>
    <phoneticPr fontId="1"/>
  </si>
  <si>
    <t>MKN7138</t>
    <phoneticPr fontId="1"/>
  </si>
  <si>
    <t>注5　⑦～⑪は⑥で一般的な分電盤を選択した場合のオプション選択です。分岐回路の数に
　　　 応じて部材を選択して下さい。配線構成等について弊社のマニュアル及びスマートHEMS
       の技術マニュアルをご確認下さい。</t>
    <rPh sb="0" eb="1">
      <t>チュウ</t>
    </rPh>
    <rPh sb="9" eb="11">
      <t>イッパン</t>
    </rPh>
    <rPh sb="11" eb="12">
      <t>テキ</t>
    </rPh>
    <rPh sb="13" eb="16">
      <t>ブンデンバン</t>
    </rPh>
    <rPh sb="17" eb="19">
      <t>センタク</t>
    </rPh>
    <rPh sb="21" eb="23">
      <t>バアイ</t>
    </rPh>
    <rPh sb="29" eb="31">
      <t>センタク</t>
    </rPh>
    <rPh sb="34" eb="36">
      <t>ブンキ</t>
    </rPh>
    <rPh sb="36" eb="38">
      <t>カイロ</t>
    </rPh>
    <rPh sb="39" eb="40">
      <t>カズ</t>
    </rPh>
    <rPh sb="46" eb="47">
      <t>オウ</t>
    </rPh>
    <rPh sb="49" eb="51">
      <t>ブザイ</t>
    </rPh>
    <rPh sb="52" eb="54">
      <t>センタク</t>
    </rPh>
    <rPh sb="56" eb="57">
      <t>クダ</t>
    </rPh>
    <rPh sb="60" eb="62">
      <t>ハイセン</t>
    </rPh>
    <rPh sb="62" eb="64">
      <t>コウセイ</t>
    </rPh>
    <rPh sb="64" eb="65">
      <t>トウ</t>
    </rPh>
    <rPh sb="69" eb="71">
      <t>ヘイシャ</t>
    </rPh>
    <rPh sb="77" eb="78">
      <t>オヨ</t>
    </rPh>
    <rPh sb="96" eb="98">
      <t>ギジュツ</t>
    </rPh>
    <rPh sb="105" eb="108">
      <t>カクニンクダ</t>
    </rPh>
    <phoneticPr fontId="1"/>
  </si>
  <si>
    <t>MKN7761</t>
    <phoneticPr fontId="1"/>
  </si>
  <si>
    <t>7型モニター機能付き用電源</t>
  </si>
  <si>
    <t>HQJP-A2シリーズ</t>
    <phoneticPr fontId="1"/>
  </si>
  <si>
    <t>HQJB-A
ハイブリッドパワコン</t>
    <phoneticPr fontId="1"/>
  </si>
  <si>
    <t>モニター機能無し</t>
    <rPh sb="4" eb="6">
      <t>キノウ</t>
    </rPh>
    <rPh sb="6" eb="7">
      <t>ナシ</t>
    </rPh>
    <phoneticPr fontId="1"/>
  </si>
  <si>
    <t>7型モニター機能付き用電源</t>
    <rPh sb="6" eb="9">
      <t>キノウツ</t>
    </rPh>
    <rPh sb="10" eb="11">
      <t>ヨウ</t>
    </rPh>
    <rPh sb="11" eb="13">
      <t>デンゲン</t>
    </rPh>
    <phoneticPr fontId="1"/>
  </si>
  <si>
    <t>7型モニター機能付き用電源</t>
    <rPh sb="6" eb="9">
      <t>キノウツ</t>
    </rPh>
    <rPh sb="10" eb="13">
      <t>ヨウデンゲン</t>
    </rPh>
    <phoneticPr fontId="1"/>
  </si>
  <si>
    <t>7型モニター機能付</t>
    <rPh sb="6" eb="8">
      <t>キノウ</t>
    </rPh>
    <rPh sb="8" eb="9">
      <t>ツキ</t>
    </rPh>
    <phoneticPr fontId="1"/>
  </si>
  <si>
    <t>スマートコスモ
(アダプタなし）</t>
    <phoneticPr fontId="1"/>
  </si>
  <si>
    <t>HEMS連携計測ユニット</t>
  </si>
  <si>
    <t>-</t>
    <phoneticPr fontId="1"/>
  </si>
  <si>
    <t>オプション</t>
    <phoneticPr fontId="1"/>
  </si>
  <si>
    <t>-</t>
    <phoneticPr fontId="1"/>
  </si>
  <si>
    <t>HEMS連携計測ユニット</t>
    <phoneticPr fontId="1"/>
  </si>
  <si>
    <t>スマートコスモ
(アダプタあり）</t>
    <phoneticPr fontId="1"/>
  </si>
  <si>
    <t>注6　KPシリーズを選択した場合、計測ユニットは必ず必要になりますので、モニタリングユニット</t>
    <rPh sb="0" eb="1">
      <t>チュウ</t>
    </rPh>
    <rPh sb="10" eb="12">
      <t>センタク</t>
    </rPh>
    <rPh sb="14" eb="16">
      <t>バアイ</t>
    </rPh>
    <rPh sb="17" eb="19">
      <t>ケイソク</t>
    </rPh>
    <rPh sb="24" eb="25">
      <t>カナラ</t>
    </rPh>
    <rPh sb="26" eb="28">
      <t>ヒツヨウ</t>
    </rPh>
    <phoneticPr fontId="1"/>
  </si>
  <si>
    <t>　　　 または、HEMS連携計測ユニットのどちららかを必ず選択して下さい。</t>
    <rPh sb="12" eb="14">
      <t>レンケイ</t>
    </rPh>
    <rPh sb="14" eb="16">
      <t>ケイソク</t>
    </rPh>
    <rPh sb="27" eb="28">
      <t>カナラ</t>
    </rPh>
    <rPh sb="29" eb="31">
      <t>センタク</t>
    </rPh>
    <rPh sb="33" eb="34">
      <t>クダ</t>
    </rPh>
    <phoneticPr fontId="1"/>
  </si>
  <si>
    <t>選択条件</t>
    <rPh sb="0" eb="2">
      <t>センタク</t>
    </rPh>
    <rPh sb="2" eb="4">
      <t>ジョウケン</t>
    </rPh>
    <phoneticPr fontId="1"/>
  </si>
  <si>
    <t>選択製品</t>
    <rPh sb="0" eb="2">
      <t>センタク</t>
    </rPh>
    <rPh sb="2" eb="4">
      <t>セイヒン</t>
    </rPh>
    <phoneticPr fontId="1"/>
  </si>
  <si>
    <t>出力制御の有無</t>
    <rPh sb="0" eb="2">
      <t>シュツリョク</t>
    </rPh>
    <rPh sb="2" eb="4">
      <t>セイギョ</t>
    </rPh>
    <rPh sb="5" eb="7">
      <t>ウム</t>
    </rPh>
    <phoneticPr fontId="1"/>
  </si>
  <si>
    <t>分電盤種類</t>
    <rPh sb="0" eb="3">
      <t>ブンデンバン</t>
    </rPh>
    <rPh sb="3" eb="5">
      <t>シュルイ</t>
    </rPh>
    <phoneticPr fontId="1"/>
  </si>
  <si>
    <t>PCS種類</t>
    <rPh sb="3" eb="5">
      <t>シュルイ</t>
    </rPh>
    <phoneticPr fontId="1"/>
  </si>
  <si>
    <t>増設アダプタ用分岐増設用CTセット(30A)10回路</t>
    <rPh sb="0" eb="2">
      <t>ゾウセツ</t>
    </rPh>
    <rPh sb="6" eb="7">
      <t>ヨウ</t>
    </rPh>
    <phoneticPr fontId="1"/>
  </si>
  <si>
    <t>増設アダプタ用分岐増設用CTセット(30A)20回路</t>
    <phoneticPr fontId="1"/>
  </si>
  <si>
    <t>増設アダプタ用分岐増設用CTセット(30A)30回路</t>
    <phoneticPr fontId="1"/>
  </si>
  <si>
    <t>増設アダプタ用分岐増設用CTセット(30A)10回路</t>
    <phoneticPr fontId="1"/>
  </si>
  <si>
    <t>増設アダプタ用分岐増設用CTセット(30A)20回路</t>
    <phoneticPr fontId="1"/>
  </si>
  <si>
    <t>増設アダプタ用分岐増設用CTセット(30A)30回路</t>
    <phoneticPr fontId="1"/>
  </si>
  <si>
    <t>日時</t>
    <rPh sb="0" eb="2">
      <t>ニチジ</t>
    </rPh>
    <phoneticPr fontId="1"/>
  </si>
  <si>
    <t>2018.7.23</t>
    <phoneticPr fontId="1"/>
  </si>
  <si>
    <t>計測ユニット分岐増設CTセットの品名変更</t>
    <rPh sb="16" eb="18">
      <t>ヒンメイ</t>
    </rPh>
    <rPh sb="18" eb="20">
      <t>ヘンコウ</t>
    </rPh>
    <phoneticPr fontId="1"/>
  </si>
  <si>
    <t>分岐増設用CT(30A)10回路→増設アダプタ用分岐増設用CTセット(30A)10回路</t>
    <phoneticPr fontId="1"/>
  </si>
  <si>
    <t>分岐増設用CT(30A)20回路→増設アダプタ用分岐増設用CTセット(30A)20回路</t>
    <phoneticPr fontId="1"/>
  </si>
  <si>
    <t>分岐増設用CT(30A)30回路→増設アダプタ用分岐増設用CTセット(30A)30回路</t>
    <phoneticPr fontId="1"/>
  </si>
  <si>
    <t>内　　　容</t>
    <rPh sb="0" eb="1">
      <t>ナイ</t>
    </rPh>
    <rPh sb="4" eb="5">
      <t>カタチ</t>
    </rPh>
    <phoneticPr fontId="1"/>
  </si>
  <si>
    <t>HQJP-MSET-A1</t>
    <phoneticPr fontId="1"/>
  </si>
  <si>
    <t>HQJP-MSET-A2</t>
    <phoneticPr fontId="1"/>
  </si>
  <si>
    <t>HQJP-MSET-A2+HQJP-RM-A1</t>
    <phoneticPr fontId="1"/>
  </si>
  <si>
    <t>POKC300C</t>
    <phoneticPr fontId="1"/>
  </si>
  <si>
    <t>不要</t>
    <rPh sb="0" eb="2">
      <t>フヨウ</t>
    </rPh>
    <phoneticPr fontId="1"/>
  </si>
  <si>
    <t>パワコン・送信U間ケーブル(30m)</t>
    <rPh sb="5" eb="7">
      <t>ソウシン</t>
    </rPh>
    <rPh sb="8" eb="9">
      <t>カン</t>
    </rPh>
    <phoneticPr fontId="1"/>
  </si>
  <si>
    <t>2018.8.2</t>
    <phoneticPr fontId="1"/>
  </si>
  <si>
    <t>HQJP-MSET-A1⇒HQJP-MSET-A2に変更</t>
    <rPh sb="26" eb="28">
      <t>ヘンコウ</t>
    </rPh>
    <phoneticPr fontId="1"/>
  </si>
  <si>
    <t>パワコン・送信U間ケーブル(30m)を追加して選択可能とした</t>
    <rPh sb="19" eb="21">
      <t>ツイカ</t>
    </rPh>
    <rPh sb="23" eb="25">
      <t>センタク</t>
    </rPh>
    <rPh sb="25" eb="27">
      <t>カノウ</t>
    </rPh>
    <phoneticPr fontId="1"/>
  </si>
  <si>
    <t>HQJP-R55-A2</t>
  </si>
  <si>
    <t>ZEH</t>
    <phoneticPr fontId="1"/>
  </si>
  <si>
    <t>ZEH+</t>
    <phoneticPr fontId="1"/>
  </si>
  <si>
    <t>HQ-D-K40-1</t>
    <phoneticPr fontId="1"/>
  </si>
  <si>
    <t>HQDK401</t>
    <phoneticPr fontId="1"/>
  </si>
  <si>
    <t>HQ-D-K55-1</t>
    <phoneticPr fontId="1"/>
  </si>
  <si>
    <t>HQDK551</t>
    <phoneticPr fontId="1"/>
  </si>
  <si>
    <t>HQ-D-RA45-1</t>
    <phoneticPr fontId="1"/>
  </si>
  <si>
    <t>HQDRA451</t>
    <phoneticPr fontId="1"/>
  </si>
  <si>
    <t>HQ-D-RA55-1</t>
    <phoneticPr fontId="1"/>
  </si>
  <si>
    <t>HQDRA551</t>
    <phoneticPr fontId="1"/>
  </si>
  <si>
    <t>HQ-D-RA55-1E</t>
    <phoneticPr fontId="1"/>
  </si>
  <si>
    <t>HQDRA551E</t>
    <phoneticPr fontId="1"/>
  </si>
  <si>
    <t>なし</t>
    <phoneticPr fontId="1"/>
  </si>
  <si>
    <t>補助金種類</t>
    <rPh sb="0" eb="3">
      <t>ホジョキン</t>
    </rPh>
    <rPh sb="3" eb="5">
      <t>シュルイ</t>
    </rPh>
    <phoneticPr fontId="1"/>
  </si>
  <si>
    <t>計測ユニット</t>
    <rPh sb="0" eb="2">
      <t>ケイソク</t>
    </rPh>
    <phoneticPr fontId="1"/>
  </si>
  <si>
    <t>情報収集ユニット</t>
    <rPh sb="0" eb="2">
      <t>ジョウホウ</t>
    </rPh>
    <rPh sb="2" eb="4">
      <t>シュウシュウ</t>
    </rPh>
    <phoneticPr fontId="1"/>
  </si>
  <si>
    <t>エネルギー計測</t>
    <rPh sb="5" eb="7">
      <t>ケイソク</t>
    </rPh>
    <phoneticPr fontId="1"/>
  </si>
  <si>
    <t>分岐回路数</t>
    <rPh sb="0" eb="2">
      <t>ブンキ</t>
    </rPh>
    <rPh sb="2" eb="4">
      <t>カイロ</t>
    </rPh>
    <rPh sb="4" eb="5">
      <t>スウ</t>
    </rPh>
    <phoneticPr fontId="1"/>
  </si>
  <si>
    <t>ZEH</t>
    <phoneticPr fontId="1"/>
  </si>
  <si>
    <t>HQ-D</t>
    <phoneticPr fontId="1"/>
  </si>
  <si>
    <t>HQ-D-M06H-1M(無線)</t>
    <rPh sb="13" eb="15">
      <t>ムセン</t>
    </rPh>
    <phoneticPr fontId="1"/>
  </si>
  <si>
    <t>2回路まで</t>
    <rPh sb="1" eb="3">
      <t>カイロ</t>
    </rPh>
    <phoneticPr fontId="1"/>
  </si>
  <si>
    <t>HM-EM03-E(有線)</t>
    <rPh sb="10" eb="12">
      <t>ユウセン</t>
    </rPh>
    <phoneticPr fontId="1"/>
  </si>
  <si>
    <t>14回路まで</t>
    <rPh sb="2" eb="4">
      <t>カイロ</t>
    </rPh>
    <phoneticPr fontId="1"/>
  </si>
  <si>
    <t>HM-EM03-W(無線)</t>
    <rPh sb="10" eb="12">
      <t>ムセン</t>
    </rPh>
    <phoneticPr fontId="1"/>
  </si>
  <si>
    <t>スマート分電盤EcoEye</t>
    <rPh sb="4" eb="7">
      <t>ブンデンバン</t>
    </rPh>
    <phoneticPr fontId="1"/>
  </si>
  <si>
    <t>HQ-D-M06H-1Y(有線)</t>
    <rPh sb="13" eb="15">
      <t>ユウセン</t>
    </rPh>
    <phoneticPr fontId="1"/>
  </si>
  <si>
    <t>KPハイブリッド</t>
    <phoneticPr fontId="1"/>
  </si>
  <si>
    <t>KP-MU2B-SET</t>
    <phoneticPr fontId="1"/>
  </si>
  <si>
    <t>6回路まで</t>
    <rPh sb="1" eb="3">
      <t>カイロ</t>
    </rPh>
    <phoneticPr fontId="1"/>
  </si>
  <si>
    <t>HM-GW03</t>
    <phoneticPr fontId="1"/>
  </si>
  <si>
    <t>20回路まで</t>
    <rPh sb="2" eb="4">
      <t>カイロ</t>
    </rPh>
    <phoneticPr fontId="1"/>
  </si>
  <si>
    <t>ZEH+</t>
    <phoneticPr fontId="1"/>
  </si>
  <si>
    <t>KP-MU2B-SET</t>
    <phoneticPr fontId="1"/>
  </si>
  <si>
    <t>KP55S3HY3A</t>
    <phoneticPr fontId="1"/>
  </si>
  <si>
    <t>オムロンハイブリッドパワコン(KP55S3-HY-3A)</t>
    <phoneticPr fontId="1"/>
  </si>
  <si>
    <t>HM-EM03-E</t>
    <phoneticPr fontId="1"/>
  </si>
  <si>
    <t>パワコン種類</t>
    <rPh sb="4" eb="6">
      <t>シュルイ</t>
    </rPh>
    <phoneticPr fontId="1"/>
  </si>
  <si>
    <t>計測ユニット種類</t>
    <rPh sb="0" eb="2">
      <t>ケイソク</t>
    </rPh>
    <rPh sb="6" eb="8">
      <t>シュルイ</t>
    </rPh>
    <phoneticPr fontId="1"/>
  </si>
  <si>
    <t>HEMS機器</t>
    <rPh sb="4" eb="6">
      <t>キキ</t>
    </rPh>
    <phoneticPr fontId="1"/>
  </si>
  <si>
    <t>なし</t>
    <phoneticPr fontId="1"/>
  </si>
  <si>
    <t>CT(30A)クランプ方式</t>
    <rPh sb="11" eb="13">
      <t>ホウシキ</t>
    </rPh>
    <phoneticPr fontId="1"/>
  </si>
  <si>
    <t>CT(60A)クランプ方式</t>
    <rPh sb="11" eb="13">
      <t>ホウシキ</t>
    </rPh>
    <phoneticPr fontId="1"/>
  </si>
  <si>
    <t>HM-CTE30</t>
    <phoneticPr fontId="1"/>
  </si>
  <si>
    <t>CT(100A)クランプ方式</t>
    <rPh sb="12" eb="14">
      <t>ホウシキ</t>
    </rPh>
    <phoneticPr fontId="1"/>
  </si>
  <si>
    <t>HM-CTE60</t>
    <phoneticPr fontId="1"/>
  </si>
  <si>
    <t>HM-CTE100</t>
    <phoneticPr fontId="1"/>
  </si>
  <si>
    <t>CTケーブル(CT2個用)2m</t>
    <rPh sb="10" eb="11">
      <t>コ</t>
    </rPh>
    <rPh sb="11" eb="12">
      <t>ヨウ</t>
    </rPh>
    <phoneticPr fontId="1"/>
  </si>
  <si>
    <t>CTケーブル(CT2個用)5m</t>
    <rPh sb="10" eb="11">
      <t>コ</t>
    </rPh>
    <rPh sb="11" eb="12">
      <t>ヨウ</t>
    </rPh>
    <phoneticPr fontId="1"/>
  </si>
  <si>
    <t>CTケーブル(CT2個用)10m</t>
    <rPh sb="10" eb="11">
      <t>コ</t>
    </rPh>
    <rPh sb="11" eb="12">
      <t>ヨウ</t>
    </rPh>
    <phoneticPr fontId="1"/>
  </si>
  <si>
    <t>スマート分電盤(EcoEye)</t>
    <rPh sb="4" eb="7">
      <t>ブンデンバン</t>
    </rPh>
    <phoneticPr fontId="1"/>
  </si>
  <si>
    <t>補助金分電盤種類</t>
    <rPh sb="0" eb="3">
      <t>ホジョキン</t>
    </rPh>
    <rPh sb="3" eb="6">
      <t>ブンデンバン</t>
    </rPh>
    <rPh sb="6" eb="8">
      <t>シュルイ</t>
    </rPh>
    <phoneticPr fontId="1"/>
  </si>
  <si>
    <t>CTセンサ種類</t>
    <rPh sb="5" eb="7">
      <t>シュルイ</t>
    </rPh>
    <phoneticPr fontId="1"/>
  </si>
  <si>
    <t>CTケーブル種類</t>
    <rPh sb="6" eb="8">
      <t>シュルイ</t>
    </rPh>
    <phoneticPr fontId="1"/>
  </si>
  <si>
    <t>HQJP-K30-A2</t>
  </si>
  <si>
    <t>HQJP-K40-A2</t>
  </si>
  <si>
    <t>HQJP-K55-A2</t>
  </si>
  <si>
    <t>HQJP-M55-A2</t>
  </si>
  <si>
    <t>HQJP-R44-A2</t>
  </si>
  <si>
    <t>ZEHP</t>
    <phoneticPr fontId="1"/>
  </si>
  <si>
    <t>AiSEG2</t>
    <phoneticPr fontId="1"/>
  </si>
  <si>
    <t>HQJPMSETA2HQJPRMA1</t>
    <phoneticPr fontId="1"/>
  </si>
  <si>
    <t>スマートコスモ</t>
    <phoneticPr fontId="1"/>
  </si>
  <si>
    <t>HMGW03HMEM03E</t>
    <phoneticPr fontId="1"/>
  </si>
  <si>
    <t>HMGW03HMEM03W</t>
    <phoneticPr fontId="1"/>
  </si>
  <si>
    <t>HMEM03E</t>
    <phoneticPr fontId="1"/>
  </si>
  <si>
    <t>HMEM03W</t>
    <phoneticPr fontId="1"/>
  </si>
  <si>
    <t>拾い出し表</t>
    <rPh sb="0" eb="1">
      <t>ヒロ</t>
    </rPh>
    <rPh sb="2" eb="3">
      <t>ダ</t>
    </rPh>
    <rPh sb="4" eb="5">
      <t>ヒョウ</t>
    </rPh>
    <phoneticPr fontId="1"/>
  </si>
  <si>
    <t>エネルギー計測ユニット有線方式</t>
    <rPh sb="5" eb="7">
      <t>ケイソク</t>
    </rPh>
    <rPh sb="11" eb="13">
      <t>ユウセン</t>
    </rPh>
    <rPh sb="13" eb="15">
      <t>ホウシキ</t>
    </rPh>
    <phoneticPr fontId="1"/>
  </si>
  <si>
    <t>エネルギー計測ユニット無線方式</t>
    <rPh sb="5" eb="7">
      <t>ケイソク</t>
    </rPh>
    <rPh sb="11" eb="13">
      <t>ムセン</t>
    </rPh>
    <rPh sb="13" eb="15">
      <t>ホウシキ</t>
    </rPh>
    <phoneticPr fontId="1"/>
  </si>
  <si>
    <t>情報取集ユニット</t>
    <rPh sb="0" eb="2">
      <t>ジョウホウ</t>
    </rPh>
    <rPh sb="2" eb="4">
      <t>シュシュウ</t>
    </rPh>
    <phoneticPr fontId="1"/>
  </si>
  <si>
    <t>HM-GW03</t>
    <phoneticPr fontId="1"/>
  </si>
  <si>
    <t>HQJP-RM-A1</t>
  </si>
  <si>
    <t>屋外用パワコン用リモコン</t>
    <rPh sb="0" eb="2">
      <t>オクガイ</t>
    </rPh>
    <rPh sb="2" eb="3">
      <t>ヨウ</t>
    </rPh>
    <rPh sb="7" eb="8">
      <t>ヨウ</t>
    </rPh>
    <phoneticPr fontId="1"/>
  </si>
  <si>
    <t>カラーモニタセット(有線タイプ)</t>
    <rPh sb="10" eb="12">
      <t>ユウセン</t>
    </rPh>
    <phoneticPr fontId="1"/>
  </si>
  <si>
    <t>カラーモニタセット(無線タイプ)</t>
    <rPh sb="10" eb="12">
      <t>ムセン</t>
    </rPh>
    <phoneticPr fontId="1"/>
  </si>
  <si>
    <t>モニタリングユニット2B(ハイブリッド専用)</t>
    <rPh sb="19" eb="21">
      <t>センヨウ</t>
    </rPh>
    <phoneticPr fontId="1"/>
  </si>
  <si>
    <t>セット</t>
    <phoneticPr fontId="1"/>
  </si>
  <si>
    <t>HM-EM03-W</t>
    <phoneticPr fontId="1"/>
  </si>
  <si>
    <t>HQJP-MOTS-A2</t>
    <phoneticPr fontId="1"/>
  </si>
  <si>
    <t>カラーモニタセット(タブレット)</t>
    <phoneticPr fontId="1"/>
  </si>
  <si>
    <t>HQ-D-M06H-1M</t>
    <phoneticPr fontId="1"/>
  </si>
  <si>
    <t>HQ-D-M06H-1Y</t>
    <phoneticPr fontId="1"/>
  </si>
  <si>
    <t>HQDM06H1M</t>
    <phoneticPr fontId="1"/>
  </si>
  <si>
    <t>HQDM06H1Y</t>
    <phoneticPr fontId="1"/>
  </si>
  <si>
    <t>AiSEG2</t>
    <phoneticPr fontId="1"/>
  </si>
  <si>
    <t>MKN704</t>
    <phoneticPr fontId="1"/>
  </si>
  <si>
    <t>AiSEG2及び関連部材の見積作成シート</t>
    <rPh sb="6" eb="7">
      <t>オヨ</t>
    </rPh>
    <rPh sb="8" eb="10">
      <t>カンレン</t>
    </rPh>
    <rPh sb="10" eb="12">
      <t>ブザイ</t>
    </rPh>
    <rPh sb="13" eb="15">
      <t>ミツ</t>
    </rPh>
    <rPh sb="15" eb="17">
      <t>サクセイ</t>
    </rPh>
    <phoneticPr fontId="1"/>
  </si>
  <si>
    <t>AiSEG2(7型モニター機能付)</t>
  </si>
  <si>
    <t>AiSEG2(モニター機能無し)</t>
  </si>
  <si>
    <t>AiSEG用エネルギー計測ユニット(増設アダプタセット)</t>
    <rPh sb="5" eb="6">
      <t>ヨウ</t>
    </rPh>
    <rPh sb="11" eb="13">
      <t>ケイソク</t>
    </rPh>
    <rPh sb="18" eb="20">
      <t>ゾウセツ</t>
    </rPh>
    <phoneticPr fontId="1"/>
  </si>
  <si>
    <t>AiSEG用エネルギー計測ユニット</t>
    <rPh sb="5" eb="6">
      <t>ヨウ</t>
    </rPh>
    <rPh sb="11" eb="13">
      <t>ケイソク</t>
    </rPh>
    <phoneticPr fontId="1"/>
  </si>
  <si>
    <t>AiSEG2等の部材拾い出し表</t>
    <rPh sb="6" eb="7">
      <t>トウ</t>
    </rPh>
    <rPh sb="8" eb="10">
      <t>ブザイ</t>
    </rPh>
    <rPh sb="10" eb="11">
      <t>ヒロ</t>
    </rPh>
    <rPh sb="12" eb="13">
      <t>ダ</t>
    </rPh>
    <rPh sb="14" eb="15">
      <t>ヒョウ</t>
    </rPh>
    <phoneticPr fontId="1"/>
  </si>
  <si>
    <t>④AiSEG2の仕様について</t>
    <phoneticPr fontId="1"/>
  </si>
  <si>
    <t>⑦AiSEG用エネルギー計測ユニット選択</t>
    <rPh sb="6" eb="7">
      <t>ヨウ</t>
    </rPh>
    <rPh sb="12" eb="14">
      <t>ケイソク</t>
    </rPh>
    <rPh sb="18" eb="20">
      <t>センタク</t>
    </rPh>
    <phoneticPr fontId="1"/>
  </si>
  <si>
    <t>HMGW03</t>
    <phoneticPr fontId="1"/>
  </si>
  <si>
    <t xml:space="preserve">エネルギー計測ユニット有線方式(HM-EM03-E) </t>
    <rPh sb="5" eb="7">
      <t>ケイソク</t>
    </rPh>
    <rPh sb="11" eb="13">
      <t>ユウセン</t>
    </rPh>
    <rPh sb="13" eb="15">
      <t>ホウシキ</t>
    </rPh>
    <phoneticPr fontId="1"/>
  </si>
  <si>
    <t xml:space="preserve">エネルギー計測ユニット無線方式(HM-EM03-W) </t>
    <rPh sb="5" eb="7">
      <t>ケイソク</t>
    </rPh>
    <rPh sb="11" eb="13">
      <t>ムセン</t>
    </rPh>
    <rPh sb="13" eb="15">
      <t>ホウシキ</t>
    </rPh>
    <phoneticPr fontId="1"/>
  </si>
  <si>
    <t>カラーモニタセット　</t>
    <phoneticPr fontId="1"/>
  </si>
  <si>
    <t>注4　①～⑤の選択項目が合っていることを確認して下さい。違っている場合は選択項目が
       異なる可能性が有りますのでご注意下さい。</t>
    <rPh sb="0" eb="1">
      <t>チュウ</t>
    </rPh>
    <rPh sb="7" eb="9">
      <t>センタク</t>
    </rPh>
    <rPh sb="9" eb="11">
      <t>コウモク</t>
    </rPh>
    <rPh sb="12" eb="13">
      <t>ア</t>
    </rPh>
    <rPh sb="20" eb="22">
      <t>カクニン</t>
    </rPh>
    <rPh sb="24" eb="25">
      <t>クダ</t>
    </rPh>
    <rPh sb="28" eb="29">
      <t>チガ</t>
    </rPh>
    <rPh sb="33" eb="35">
      <t>バアイ</t>
    </rPh>
    <rPh sb="36" eb="38">
      <t>センタク</t>
    </rPh>
    <rPh sb="38" eb="40">
      <t>コウモク</t>
    </rPh>
    <rPh sb="49" eb="50">
      <t>コト</t>
    </rPh>
    <rPh sb="52" eb="55">
      <t>カノウセイ</t>
    </rPh>
    <rPh sb="56" eb="57">
      <t>ア</t>
    </rPh>
    <rPh sb="63" eb="65">
      <t>チュウイ</t>
    </rPh>
    <rPh sb="65" eb="66">
      <t>クダ</t>
    </rPh>
    <phoneticPr fontId="1"/>
  </si>
  <si>
    <t>注7　三菱HEMSを選択する場合、分岐回路数については下記の条件が必須になりますのでご注意下さい。</t>
    <rPh sb="0" eb="1">
      <t>チュウ</t>
    </rPh>
    <rPh sb="3" eb="5">
      <t>ミツビシ</t>
    </rPh>
    <rPh sb="10" eb="12">
      <t>センタク</t>
    </rPh>
    <rPh sb="14" eb="16">
      <t>バアイ</t>
    </rPh>
    <rPh sb="17" eb="19">
      <t>ブンキ</t>
    </rPh>
    <rPh sb="19" eb="21">
      <t>カイロ</t>
    </rPh>
    <rPh sb="21" eb="22">
      <t>スウ</t>
    </rPh>
    <rPh sb="27" eb="29">
      <t>カキ</t>
    </rPh>
    <rPh sb="30" eb="32">
      <t>ジョウケン</t>
    </rPh>
    <phoneticPr fontId="1"/>
  </si>
  <si>
    <t>PV-DC10A-HQ</t>
  </si>
  <si>
    <t>PV-DC10A-HQ</t>
    <phoneticPr fontId="1"/>
  </si>
  <si>
    <t>PV-DC16A-HQ</t>
  </si>
  <si>
    <t>PV-DC16A-HQ</t>
    <phoneticPr fontId="1"/>
  </si>
  <si>
    <t>PV-DC24A-HQ</t>
  </si>
  <si>
    <t>PV-DC24A-HQ</t>
    <phoneticPr fontId="1"/>
  </si>
  <si>
    <t>PV-DC06J1-HQ</t>
  </si>
  <si>
    <t>PV-DC06J1-HQ</t>
    <phoneticPr fontId="1"/>
  </si>
  <si>
    <t>PV-DC06J2-HQ</t>
  </si>
  <si>
    <t>PV-DC01-HQ</t>
  </si>
  <si>
    <t>PV-DC01-HQ</t>
    <phoneticPr fontId="1"/>
  </si>
  <si>
    <t>電力計測用電流センサー　φ10 2個入り</t>
    <rPh sb="0" eb="2">
      <t>デンリョク</t>
    </rPh>
    <rPh sb="2" eb="5">
      <t>ケイソクヨウ</t>
    </rPh>
    <rPh sb="5" eb="7">
      <t>デンリュウ</t>
    </rPh>
    <rPh sb="17" eb="18">
      <t>コ</t>
    </rPh>
    <rPh sb="18" eb="19">
      <t>イ</t>
    </rPh>
    <phoneticPr fontId="1"/>
  </si>
  <si>
    <t>電力計測用電流センサー　φ16 2個入り</t>
    <rPh sb="0" eb="2">
      <t>デンリョク</t>
    </rPh>
    <rPh sb="2" eb="5">
      <t>ケイソクヨウ</t>
    </rPh>
    <rPh sb="5" eb="7">
      <t>デンリュウ</t>
    </rPh>
    <rPh sb="17" eb="18">
      <t>コ</t>
    </rPh>
    <rPh sb="18" eb="19">
      <t>イ</t>
    </rPh>
    <phoneticPr fontId="1"/>
  </si>
  <si>
    <t>電力計測用電流センサー　φ24 2個入り</t>
    <rPh sb="0" eb="2">
      <t>デンリョク</t>
    </rPh>
    <rPh sb="2" eb="5">
      <t>ケイソクヨウ</t>
    </rPh>
    <rPh sb="5" eb="7">
      <t>デンリュウ</t>
    </rPh>
    <rPh sb="17" eb="18">
      <t>コ</t>
    </rPh>
    <rPh sb="18" eb="19">
      <t>イ</t>
    </rPh>
    <phoneticPr fontId="1"/>
  </si>
  <si>
    <t>個別電力計測用電流センサー　φ6 1個入り</t>
    <rPh sb="0" eb="2">
      <t>コベツ</t>
    </rPh>
    <rPh sb="2" eb="4">
      <t>デンリョク</t>
    </rPh>
    <rPh sb="4" eb="7">
      <t>ケイソクヨウ</t>
    </rPh>
    <rPh sb="7" eb="9">
      <t>デンリュウ</t>
    </rPh>
    <rPh sb="18" eb="19">
      <t>コ</t>
    </rPh>
    <rPh sb="19" eb="20">
      <t>イ</t>
    </rPh>
    <phoneticPr fontId="1"/>
  </si>
  <si>
    <t>個別電力計測用電流センサー　φ6 2個入り</t>
    <rPh sb="0" eb="2">
      <t>コベツ</t>
    </rPh>
    <rPh sb="2" eb="4">
      <t>デンリョク</t>
    </rPh>
    <rPh sb="4" eb="7">
      <t>ケイソクヨウ</t>
    </rPh>
    <rPh sb="7" eb="9">
      <t>デンリュウ</t>
    </rPh>
    <rPh sb="18" eb="19">
      <t>コ</t>
    </rPh>
    <rPh sb="19" eb="20">
      <t>イ</t>
    </rPh>
    <phoneticPr fontId="1"/>
  </si>
  <si>
    <t>発電電力計測用電流センサー　φ10 1個入り</t>
    <rPh sb="0" eb="2">
      <t>ハツデン</t>
    </rPh>
    <rPh sb="2" eb="4">
      <t>デンリョク</t>
    </rPh>
    <rPh sb="4" eb="7">
      <t>ケイソクヨウ</t>
    </rPh>
    <rPh sb="7" eb="9">
      <t>デンリュウ</t>
    </rPh>
    <rPh sb="19" eb="21">
      <t>コイリ</t>
    </rPh>
    <phoneticPr fontId="1"/>
  </si>
  <si>
    <t>なし</t>
    <phoneticPr fontId="1"/>
  </si>
  <si>
    <t>数量</t>
    <rPh sb="0" eb="2">
      <t>スウリョウ</t>
    </rPh>
    <phoneticPr fontId="1"/>
  </si>
  <si>
    <t>種類</t>
    <rPh sb="0" eb="2">
      <t>シュルイ</t>
    </rPh>
    <phoneticPr fontId="1"/>
  </si>
  <si>
    <t>セット</t>
    <phoneticPr fontId="1"/>
  </si>
  <si>
    <t>HQ-D-M06H-1M</t>
    <phoneticPr fontId="1"/>
  </si>
  <si>
    <t>HQ-D-M06H-1Y</t>
    <phoneticPr fontId="1"/>
  </si>
  <si>
    <t>HM-EM03-E</t>
    <phoneticPr fontId="1"/>
  </si>
  <si>
    <t>HM-EM03-W</t>
    <phoneticPr fontId="1"/>
  </si>
  <si>
    <t>131</t>
    <phoneticPr fontId="1"/>
  </si>
  <si>
    <t>212</t>
    <phoneticPr fontId="1"/>
  </si>
  <si>
    <t>141</t>
    <phoneticPr fontId="1"/>
  </si>
  <si>
    <t>132</t>
    <phoneticPr fontId="1"/>
  </si>
  <si>
    <t>231</t>
    <phoneticPr fontId="1"/>
  </si>
  <si>
    <t>211</t>
    <phoneticPr fontId="1"/>
  </si>
  <si>
    <t>221</t>
    <phoneticPr fontId="1"/>
  </si>
  <si>
    <t>ハイブリッドパワコン(HQJB-H55R-A1)</t>
    <phoneticPr fontId="1"/>
  </si>
  <si>
    <r>
      <rPr>
        <sz val="14"/>
        <color theme="1"/>
        <rFont val="Meiryo UI"/>
        <family val="3"/>
        <charset val="128"/>
      </rPr>
      <t>　　　　　　　　　概要</t>
    </r>
    <r>
      <rPr>
        <sz val="12"/>
        <color theme="1"/>
        <rFont val="Meiryo UI"/>
        <family val="3"/>
        <charset val="128"/>
      </rPr>
      <t xml:space="preserve">
このシートは、Q.CASTで自動積算されない
AiSEG2及びその関連部材の拾い出しを行う
ソフトです。作成手順は以下となります。
</t>
    </r>
    <r>
      <rPr>
        <sz val="11"/>
        <color theme="1"/>
        <rFont val="Meiryo UI"/>
        <family val="3"/>
        <charset val="128"/>
      </rPr>
      <t xml:space="preserve">
　　　　　　　　　</t>
    </r>
    <r>
      <rPr>
        <sz val="14"/>
        <color theme="1"/>
        <rFont val="Meiryo UI"/>
        <family val="3"/>
        <charset val="128"/>
      </rPr>
      <t>作成手順</t>
    </r>
    <r>
      <rPr>
        <sz val="11"/>
        <color theme="1"/>
        <rFont val="Meiryo UI"/>
        <family val="3"/>
        <charset val="128"/>
      </rPr>
      <t xml:space="preserve">
①　右の条件選択項目①から⑪までの黄色
     及び緑色のセルをクリックしてプルダウン
     メニューから該当する部材、条件を選択
　　 します。
②　条件選択項目でそれぞれの部材、条件
     を選択するとAiSEG2等の部材拾い出
     し表に自動で必要部材が表示されます。
     PCSとモニタの組合せが合っていないと
　　 正しく拾い出しができませんので必ず
     ご確認下さい。
③　Q.CASTの見積編集画面のオプション
　　 追加からAiSEG2等の部材拾い出し表
　　 にある部材を選択して見積もりに追加
     して下さい。
④　Q.CASTで既に選択されたモニタや
     ケーブル類を表示しています。不要な
     場合はQCASTの見積編集画面の
     数量(変更)に 0 を入力して下さい。</t>
    </r>
    <rPh sb="9" eb="11">
      <t>ガイヨウ</t>
    </rPh>
    <rPh sb="26" eb="28">
      <t>ジドウ</t>
    </rPh>
    <rPh sb="28" eb="30">
      <t>セキサン</t>
    </rPh>
    <rPh sb="41" eb="42">
      <t>オヨ</t>
    </rPh>
    <rPh sb="45" eb="47">
      <t>カンレン</t>
    </rPh>
    <rPh sb="47" eb="49">
      <t>ブザイ</t>
    </rPh>
    <rPh sb="50" eb="51">
      <t>ヒロ</t>
    </rPh>
    <rPh sb="52" eb="53">
      <t>ダ</t>
    </rPh>
    <rPh sb="55" eb="56">
      <t>オコナ</t>
    </rPh>
    <rPh sb="64" eb="66">
      <t>サクセイ</t>
    </rPh>
    <rPh sb="66" eb="68">
      <t>テジュン</t>
    </rPh>
    <rPh sb="69" eb="71">
      <t>イカ</t>
    </rPh>
    <rPh sb="88" eb="90">
      <t>サクセイ</t>
    </rPh>
    <rPh sb="90" eb="92">
      <t>テジュン</t>
    </rPh>
    <rPh sb="95" eb="96">
      <t>ミギ</t>
    </rPh>
    <rPh sb="97" eb="99">
      <t>ジョウケン</t>
    </rPh>
    <rPh sb="99" eb="101">
      <t>センタク</t>
    </rPh>
    <rPh sb="101" eb="103">
      <t>コウモク</t>
    </rPh>
    <rPh sb="110" eb="112">
      <t>キイロ</t>
    </rPh>
    <rPh sb="118" eb="119">
      <t>オヨ</t>
    </rPh>
    <rPh sb="120" eb="121">
      <t>ミドリ</t>
    </rPh>
    <rPh sb="121" eb="122">
      <t>イロ</t>
    </rPh>
    <rPh sb="149" eb="151">
      <t>ガイトウ</t>
    </rPh>
    <rPh sb="153" eb="155">
      <t>ブザイ</t>
    </rPh>
    <rPh sb="156" eb="158">
      <t>ジョウケン</t>
    </rPh>
    <rPh sb="159" eb="161">
      <t>センタク</t>
    </rPh>
    <rPh sb="173" eb="175">
      <t>ジョウケン</t>
    </rPh>
    <rPh sb="175" eb="177">
      <t>センタク</t>
    </rPh>
    <rPh sb="177" eb="179">
      <t>コウモク</t>
    </rPh>
    <rPh sb="185" eb="187">
      <t>ブザイ</t>
    </rPh>
    <rPh sb="188" eb="190">
      <t>ジョウケン</t>
    </rPh>
    <rPh sb="197" eb="199">
      <t>センタク</t>
    </rPh>
    <rPh sb="208" eb="209">
      <t>トウ</t>
    </rPh>
    <rPh sb="210" eb="212">
      <t>ブザイ</t>
    </rPh>
    <rPh sb="212" eb="213">
      <t>ヒロ</t>
    </rPh>
    <rPh sb="214" eb="215">
      <t>ダ</t>
    </rPh>
    <rPh sb="222" eb="223">
      <t>ヒョウ</t>
    </rPh>
    <rPh sb="224" eb="226">
      <t>ジドウ</t>
    </rPh>
    <rPh sb="227" eb="229">
      <t>ヒツヨウ</t>
    </rPh>
    <rPh sb="229" eb="231">
      <t>ブザイ</t>
    </rPh>
    <rPh sb="232" eb="234">
      <t>ヒョウジ</t>
    </rPh>
    <rPh sb="253" eb="255">
      <t>クミアワ</t>
    </rPh>
    <rPh sb="257" eb="258">
      <t>ア</t>
    </rPh>
    <rPh sb="268" eb="269">
      <t>タダ</t>
    </rPh>
    <rPh sb="271" eb="272">
      <t>ヒロ</t>
    </rPh>
    <rPh sb="273" eb="274">
      <t>ダ</t>
    </rPh>
    <rPh sb="283" eb="284">
      <t>カナラ</t>
    </rPh>
    <rPh sb="292" eb="294">
      <t>カクニン</t>
    </rPh>
    <rPh sb="294" eb="295">
      <t>クダ</t>
    </rPh>
    <rPh sb="309" eb="311">
      <t>ミツ</t>
    </rPh>
    <rPh sb="311" eb="313">
      <t>ヘンシュウ</t>
    </rPh>
    <rPh sb="313" eb="315">
      <t>ガメン</t>
    </rPh>
    <rPh sb="325" eb="327">
      <t>ツイカ</t>
    </rPh>
    <rPh sb="335" eb="336">
      <t>トウ</t>
    </rPh>
    <rPh sb="337" eb="339">
      <t>ブザイ</t>
    </rPh>
    <rPh sb="339" eb="340">
      <t>ヒロ</t>
    </rPh>
    <rPh sb="341" eb="342">
      <t>ダ</t>
    </rPh>
    <rPh sb="343" eb="344">
      <t>ヒョウ</t>
    </rPh>
    <rPh sb="351" eb="353">
      <t>ブザイ</t>
    </rPh>
    <rPh sb="354" eb="356">
      <t>センタク</t>
    </rPh>
    <rPh sb="358" eb="360">
      <t>ミツ</t>
    </rPh>
    <rPh sb="363" eb="365">
      <t>ツイカ</t>
    </rPh>
    <rPh sb="373" eb="374">
      <t>クダ</t>
    </rPh>
    <phoneticPr fontId="1"/>
  </si>
  <si>
    <t>注2　上記拾い出し表は、Q.CASTで既に選択されたモニタやケーブル類を表示しています。
　　　 不要な場合はQ.CASTの見積編集画面の数量(変更)に 0 を入力して下さい。</t>
    <rPh sb="0" eb="1">
      <t>チュウ</t>
    </rPh>
    <rPh sb="3" eb="5">
      <t>ジョウキ</t>
    </rPh>
    <rPh sb="5" eb="6">
      <t>ヒロ</t>
    </rPh>
    <rPh sb="7" eb="8">
      <t>ダ</t>
    </rPh>
    <rPh sb="9" eb="10">
      <t>ヒョウ</t>
    </rPh>
    <rPh sb="19" eb="20">
      <t>スデ</t>
    </rPh>
    <rPh sb="21" eb="23">
      <t>センタク</t>
    </rPh>
    <rPh sb="34" eb="35">
      <t>ルイ</t>
    </rPh>
    <rPh sb="36" eb="38">
      <t>ヒョウジ</t>
    </rPh>
    <rPh sb="49" eb="51">
      <t>フヨウ</t>
    </rPh>
    <rPh sb="52" eb="54">
      <t>バアイ</t>
    </rPh>
    <rPh sb="62" eb="64">
      <t>ミツ</t>
    </rPh>
    <rPh sb="64" eb="66">
      <t>ヘンシュウ</t>
    </rPh>
    <rPh sb="66" eb="68">
      <t>ガメン</t>
    </rPh>
    <rPh sb="69" eb="71">
      <t>スウリョウ</t>
    </rPh>
    <rPh sb="72" eb="74">
      <t>ヘンコウ</t>
    </rPh>
    <rPh sb="80" eb="82">
      <t>ニュウリョク</t>
    </rPh>
    <rPh sb="84" eb="85">
      <t>クダ</t>
    </rPh>
    <phoneticPr fontId="1"/>
  </si>
  <si>
    <t>注2　AiSEG2が必要となる場合の拾い出しは別途AiSEG2及び関連部材の見積作成シートで
　　　 拾い出しを行って下さい。</t>
    <rPh sb="0" eb="1">
      <t>チュウ</t>
    </rPh>
    <rPh sb="10" eb="12">
      <t>ヒツヨウ</t>
    </rPh>
    <rPh sb="15" eb="17">
      <t>バアイ</t>
    </rPh>
    <rPh sb="18" eb="19">
      <t>ヒロ</t>
    </rPh>
    <rPh sb="20" eb="21">
      <t>ダ</t>
    </rPh>
    <rPh sb="23" eb="25">
      <t>ベット</t>
    </rPh>
    <rPh sb="31" eb="32">
      <t>オヨ</t>
    </rPh>
    <rPh sb="33" eb="35">
      <t>カンレン</t>
    </rPh>
    <rPh sb="35" eb="37">
      <t>ブザイ</t>
    </rPh>
    <rPh sb="38" eb="40">
      <t>ミツモリ</t>
    </rPh>
    <rPh sb="40" eb="42">
      <t>サクセイ</t>
    </rPh>
    <rPh sb="51" eb="52">
      <t>ヒロ</t>
    </rPh>
    <rPh sb="53" eb="54">
      <t>ダ</t>
    </rPh>
    <rPh sb="56" eb="57">
      <t>オコナ</t>
    </rPh>
    <rPh sb="59" eb="60">
      <t>クダ</t>
    </rPh>
    <phoneticPr fontId="1"/>
  </si>
  <si>
    <t>なし</t>
    <phoneticPr fontId="1"/>
  </si>
  <si>
    <t>KP-CT-T09AC30</t>
    <phoneticPr fontId="1"/>
  </si>
  <si>
    <t>KP-CHB-C4VG03N</t>
    <phoneticPr fontId="1"/>
  </si>
  <si>
    <t>KP-CHB-C4VG05N</t>
    <phoneticPr fontId="1"/>
  </si>
  <si>
    <t>KP-CHB-C4VG10N</t>
    <phoneticPr fontId="1"/>
  </si>
  <si>
    <t>KP-CHB-C4VG15N</t>
    <phoneticPr fontId="1"/>
  </si>
  <si>
    <t>KP-CHB-C4VG30N</t>
    <phoneticPr fontId="1"/>
  </si>
  <si>
    <t>KP-CHC-C4VG03N</t>
  </si>
  <si>
    <t>KP-CHC-C4VG03N</t>
    <phoneticPr fontId="1"/>
  </si>
  <si>
    <t>KP-CHC-C4VG05N</t>
  </si>
  <si>
    <t>KP-CHC-C4VG05N</t>
    <phoneticPr fontId="1"/>
  </si>
  <si>
    <t>KP-CHC-C4VG10N</t>
  </si>
  <si>
    <t>KP-CHC-C4VG10N</t>
    <phoneticPr fontId="1"/>
  </si>
  <si>
    <t>KP-CHC-C4VG15N</t>
  </si>
  <si>
    <t>KP-CHC-C4VG15N</t>
    <phoneticPr fontId="1"/>
  </si>
  <si>
    <t>KP-CHC-C4VG30N</t>
  </si>
  <si>
    <t>KP-CHC-C4VG30N</t>
    <phoneticPr fontId="1"/>
  </si>
  <si>
    <t>KP-CT-S16AC100</t>
  </si>
  <si>
    <t>KP-CT-S16AC100</t>
    <phoneticPr fontId="1"/>
  </si>
  <si>
    <t>KP-CT-S24AC100</t>
  </si>
  <si>
    <t>KP-CT-S24AC100</t>
    <phoneticPr fontId="1"/>
  </si>
  <si>
    <t>本</t>
    <rPh sb="0" eb="1">
      <t>ホン</t>
    </rPh>
    <phoneticPr fontId="1"/>
  </si>
  <si>
    <t>セット</t>
    <phoneticPr fontId="1"/>
  </si>
  <si>
    <t>セット</t>
    <phoneticPr fontId="1"/>
  </si>
  <si>
    <t>分岐計測用電流センサケーブル(3m)</t>
    <rPh sb="0" eb="2">
      <t>ブンキ</t>
    </rPh>
    <rPh sb="2" eb="5">
      <t>ケイソクヨウ</t>
    </rPh>
    <rPh sb="5" eb="7">
      <t>デンリュウ</t>
    </rPh>
    <phoneticPr fontId="1"/>
  </si>
  <si>
    <t>分岐計測用電流センサケーブル(5m)</t>
    <rPh sb="0" eb="2">
      <t>ブンキ</t>
    </rPh>
    <rPh sb="2" eb="5">
      <t>ケイソクヨウ</t>
    </rPh>
    <rPh sb="5" eb="7">
      <t>デンリュウ</t>
    </rPh>
    <phoneticPr fontId="1"/>
  </si>
  <si>
    <t>分岐計測用電流センサケーブル(10m)</t>
    <rPh sb="0" eb="2">
      <t>ブンキ</t>
    </rPh>
    <rPh sb="2" eb="5">
      <t>ケイソクヨウ</t>
    </rPh>
    <rPh sb="5" eb="7">
      <t>デンリュウ</t>
    </rPh>
    <phoneticPr fontId="1"/>
  </si>
  <si>
    <t>分岐計測用電流センサケーブル(15m)</t>
    <rPh sb="0" eb="2">
      <t>ブンキ</t>
    </rPh>
    <rPh sb="2" eb="5">
      <t>ケイソクヨウ</t>
    </rPh>
    <rPh sb="5" eb="7">
      <t>デンリュウ</t>
    </rPh>
    <phoneticPr fontId="1"/>
  </si>
  <si>
    <t>分岐計測用電流センサケーブル(30m)</t>
    <rPh sb="0" eb="2">
      <t>ブンキ</t>
    </rPh>
    <rPh sb="2" eb="5">
      <t>ケイソクヨウ</t>
    </rPh>
    <rPh sb="5" eb="7">
      <t>デンリュウ</t>
    </rPh>
    <phoneticPr fontId="1"/>
  </si>
  <si>
    <t>外部発電機用電流センサケーブル(3m)</t>
    <rPh sb="0" eb="2">
      <t>ガイブ</t>
    </rPh>
    <rPh sb="2" eb="5">
      <t>ハツデンキ</t>
    </rPh>
    <rPh sb="5" eb="6">
      <t>ヨウ</t>
    </rPh>
    <rPh sb="6" eb="8">
      <t>デンリュウ</t>
    </rPh>
    <phoneticPr fontId="1"/>
  </si>
  <si>
    <t>外部発電機用電流センサケーブル(5m)</t>
    <rPh sb="5" eb="6">
      <t>ヨウ</t>
    </rPh>
    <rPh sb="6" eb="8">
      <t>デンリュウ</t>
    </rPh>
    <phoneticPr fontId="1"/>
  </si>
  <si>
    <t>外部発電機用電流センサケーブル(10m)</t>
    <rPh sb="6" eb="8">
      <t>デンリュウ</t>
    </rPh>
    <phoneticPr fontId="1"/>
  </si>
  <si>
    <t>外部発電機用電流センサケーブル(15m)</t>
    <rPh sb="6" eb="8">
      <t>デンリュウ</t>
    </rPh>
    <phoneticPr fontId="1"/>
  </si>
  <si>
    <t>外部発電機用電流センサケーブル(30m)</t>
    <rPh sb="6" eb="8">
      <t>デンリュウ</t>
    </rPh>
    <phoneticPr fontId="1"/>
  </si>
  <si>
    <t>主幹/外部発電機用　電流センサ(内径14.5mm)2個</t>
    <rPh sb="0" eb="2">
      <t>シュカン</t>
    </rPh>
    <rPh sb="3" eb="5">
      <t>ガイブ</t>
    </rPh>
    <rPh sb="5" eb="9">
      <t>ハツデンキヨウ</t>
    </rPh>
    <rPh sb="10" eb="12">
      <t>デンリュウ</t>
    </rPh>
    <rPh sb="16" eb="18">
      <t>ナイケイ</t>
    </rPh>
    <rPh sb="26" eb="27">
      <t>コ</t>
    </rPh>
    <phoneticPr fontId="1"/>
  </si>
  <si>
    <t>主幹/外部発電機用　電流センサ(内径24mm)2個</t>
    <rPh sb="0" eb="2">
      <t>シュカン</t>
    </rPh>
    <rPh sb="3" eb="5">
      <t>ガイブ</t>
    </rPh>
    <rPh sb="5" eb="9">
      <t>ハツデンキヨウ</t>
    </rPh>
    <rPh sb="10" eb="12">
      <t>デンリュウ</t>
    </rPh>
    <rPh sb="16" eb="18">
      <t>ナイケイ</t>
    </rPh>
    <rPh sb="24" eb="25">
      <t>コ</t>
    </rPh>
    <phoneticPr fontId="1"/>
  </si>
  <si>
    <t>セット</t>
    <phoneticPr fontId="1"/>
  </si>
  <si>
    <t>分岐計測用電流センサ(内径9.3mm)2個</t>
    <rPh sb="0" eb="2">
      <t>ブンキ</t>
    </rPh>
    <rPh sb="2" eb="5">
      <t>ケイソクヨウ</t>
    </rPh>
    <rPh sb="5" eb="7">
      <t>デンリュウ</t>
    </rPh>
    <rPh sb="11" eb="13">
      <t>ナイケイ</t>
    </rPh>
    <rPh sb="20" eb="21">
      <t>コ</t>
    </rPh>
    <phoneticPr fontId="1"/>
  </si>
  <si>
    <t>なし</t>
    <phoneticPr fontId="1"/>
  </si>
  <si>
    <t>KPMU2BSETなし</t>
    <phoneticPr fontId="1"/>
  </si>
  <si>
    <t>KP-CHB-C4VG03N</t>
  </si>
  <si>
    <t>KP-CHB-C4VG05N</t>
  </si>
  <si>
    <t>KP-CHB-C4VG10N</t>
  </si>
  <si>
    <t>KP-CHB-C4VG15N</t>
  </si>
  <si>
    <t>KP-CHB-C4VG30N</t>
  </si>
  <si>
    <t>KP-CT-T09AC30</t>
  </si>
  <si>
    <t>発電電力計測用電流センサー　φ10　 1個入り</t>
    <rPh sb="0" eb="2">
      <t>ハツデン</t>
    </rPh>
    <rPh sb="2" eb="4">
      <t>デンリョク</t>
    </rPh>
    <rPh sb="4" eb="7">
      <t>ケイソクヨウ</t>
    </rPh>
    <rPh sb="7" eb="9">
      <t>デンリュウ</t>
    </rPh>
    <rPh sb="20" eb="22">
      <t>コイリ</t>
    </rPh>
    <phoneticPr fontId="1"/>
  </si>
  <si>
    <t>電力計測用電流センサー　φ10　 2個入り</t>
    <rPh sb="0" eb="2">
      <t>デンリョク</t>
    </rPh>
    <rPh sb="2" eb="5">
      <t>ケイソクヨウ</t>
    </rPh>
    <rPh sb="5" eb="7">
      <t>デンリュウ</t>
    </rPh>
    <rPh sb="18" eb="19">
      <t>コ</t>
    </rPh>
    <rPh sb="19" eb="20">
      <t>イ</t>
    </rPh>
    <phoneticPr fontId="1"/>
  </si>
  <si>
    <t>電力計測用電流センサー　φ16 　2個入り</t>
    <rPh sb="0" eb="2">
      <t>デンリョク</t>
    </rPh>
    <rPh sb="2" eb="5">
      <t>ケイソクヨウ</t>
    </rPh>
    <rPh sb="5" eb="7">
      <t>デンリュウ</t>
    </rPh>
    <rPh sb="18" eb="19">
      <t>コ</t>
    </rPh>
    <rPh sb="19" eb="20">
      <t>イ</t>
    </rPh>
    <phoneticPr fontId="1"/>
  </si>
  <si>
    <t>電力計測用電流センサー　φ24　 2個入り</t>
    <rPh sb="0" eb="2">
      <t>デンリョク</t>
    </rPh>
    <rPh sb="2" eb="5">
      <t>ケイソクヨウ</t>
    </rPh>
    <rPh sb="5" eb="7">
      <t>デンリュウ</t>
    </rPh>
    <rPh sb="18" eb="19">
      <t>コ</t>
    </rPh>
    <rPh sb="19" eb="20">
      <t>イ</t>
    </rPh>
    <phoneticPr fontId="1"/>
  </si>
  <si>
    <t>個別電力計測用電流センサー　φ6 　1個入り</t>
    <rPh sb="0" eb="2">
      <t>コベツ</t>
    </rPh>
    <rPh sb="2" eb="4">
      <t>デンリョク</t>
    </rPh>
    <rPh sb="4" eb="7">
      <t>ケイソクヨウ</t>
    </rPh>
    <rPh sb="7" eb="9">
      <t>デンリュウ</t>
    </rPh>
    <rPh sb="19" eb="20">
      <t>コ</t>
    </rPh>
    <rPh sb="20" eb="21">
      <t>イ</t>
    </rPh>
    <phoneticPr fontId="1"/>
  </si>
  <si>
    <t>個別電力計測用電流センサー　φ6 　2個入り</t>
    <rPh sb="0" eb="2">
      <t>コベツ</t>
    </rPh>
    <rPh sb="2" eb="4">
      <t>デンリョク</t>
    </rPh>
    <rPh sb="4" eb="7">
      <t>ケイソクヨウ</t>
    </rPh>
    <rPh sb="7" eb="9">
      <t>デンリュウ</t>
    </rPh>
    <rPh sb="19" eb="20">
      <t>コ</t>
    </rPh>
    <rPh sb="20" eb="21">
      <t>イ</t>
    </rPh>
    <phoneticPr fontId="1"/>
  </si>
  <si>
    <t>分岐計測用電流センサ(内径9.3mm)　2個</t>
    <rPh sb="0" eb="2">
      <t>ブンキ</t>
    </rPh>
    <rPh sb="2" eb="5">
      <t>ケイソクヨウ</t>
    </rPh>
    <rPh sb="5" eb="7">
      <t>デンリュウ</t>
    </rPh>
    <rPh sb="11" eb="13">
      <t>ナイケイ</t>
    </rPh>
    <rPh sb="21" eb="22">
      <t>コ</t>
    </rPh>
    <phoneticPr fontId="1"/>
  </si>
  <si>
    <t>一般的な分電盤を選択した場合のCTの
オプション選択(必ず選択し直して下さい）</t>
    <rPh sb="0" eb="3">
      <t>イッパンテキ</t>
    </rPh>
    <rPh sb="4" eb="5">
      <t>ブン</t>
    </rPh>
    <rPh sb="5" eb="6">
      <t>デン</t>
    </rPh>
    <rPh sb="6" eb="7">
      <t>バン</t>
    </rPh>
    <rPh sb="8" eb="10">
      <t>センタク</t>
    </rPh>
    <rPh sb="12" eb="14">
      <t>バアイ</t>
    </rPh>
    <rPh sb="24" eb="26">
      <t>センタク</t>
    </rPh>
    <rPh sb="27" eb="28">
      <t>カナラ</t>
    </rPh>
    <rPh sb="29" eb="31">
      <t>センタク</t>
    </rPh>
    <rPh sb="32" eb="33">
      <t>ナオ</t>
    </rPh>
    <rPh sb="35" eb="36">
      <t>クダ</t>
    </rPh>
    <phoneticPr fontId="1"/>
  </si>
  <si>
    <t>POK-C100G</t>
    <phoneticPr fontId="1"/>
  </si>
  <si>
    <t>POK-C018G</t>
    <phoneticPr fontId="1"/>
  </si>
  <si>
    <t>POK-C100X</t>
    <phoneticPr fontId="1"/>
  </si>
  <si>
    <t>個</t>
    <rPh sb="0" eb="1">
      <t>コ</t>
    </rPh>
    <phoneticPr fontId="1"/>
  </si>
  <si>
    <t>POK-S016</t>
    <phoneticPr fontId="1"/>
  </si>
  <si>
    <t>セット</t>
    <phoneticPr fontId="1"/>
  </si>
  <si>
    <t>電流センサ増設用セット(10m/内径10mm)</t>
    <rPh sb="0" eb="2">
      <t>デンリュウ</t>
    </rPh>
    <rPh sb="5" eb="8">
      <t>ゾウセツヨウ</t>
    </rPh>
    <rPh sb="16" eb="18">
      <t>ナイケイ</t>
    </rPh>
    <phoneticPr fontId="1"/>
  </si>
  <si>
    <t>電流センサ増設用セット(1.8m/内径10mm)</t>
    <rPh sb="0" eb="2">
      <t>デンリュウ</t>
    </rPh>
    <rPh sb="5" eb="8">
      <t>ゾウセツヨウ</t>
    </rPh>
    <rPh sb="17" eb="19">
      <t>ナイケイ</t>
    </rPh>
    <phoneticPr fontId="1"/>
  </si>
  <si>
    <t>電流センサ増設用ケーブル(10m)</t>
    <rPh sb="0" eb="2">
      <t>デンリュウ</t>
    </rPh>
    <rPh sb="5" eb="8">
      <t>ゾウセツヨウ</t>
    </rPh>
    <phoneticPr fontId="1"/>
  </si>
  <si>
    <t>電流センサ(内径16mm)増設用</t>
    <rPh sb="0" eb="2">
      <t>デンリュウ</t>
    </rPh>
    <rPh sb="6" eb="8">
      <t>ナイケイ</t>
    </rPh>
    <rPh sb="13" eb="16">
      <t>ゾウセツヨウ</t>
    </rPh>
    <phoneticPr fontId="1"/>
  </si>
  <si>
    <t>オプション①</t>
    <phoneticPr fontId="1"/>
  </si>
  <si>
    <t>オプション②</t>
    <phoneticPr fontId="1"/>
  </si>
  <si>
    <t>オプション③</t>
    <phoneticPr fontId="1"/>
  </si>
  <si>
    <t>オプション④</t>
    <phoneticPr fontId="1"/>
  </si>
  <si>
    <t>HM-GW03</t>
    <phoneticPr fontId="1"/>
  </si>
  <si>
    <t>271</t>
    <phoneticPr fontId="1"/>
  </si>
  <si>
    <t>151</t>
    <phoneticPr fontId="1"/>
  </si>
  <si>
    <t>PANA</t>
    <phoneticPr fontId="1"/>
  </si>
  <si>
    <t>HQJB</t>
    <phoneticPr fontId="1"/>
  </si>
  <si>
    <t>HQJP</t>
    <phoneticPr fontId="1"/>
  </si>
  <si>
    <t>371</t>
    <phoneticPr fontId="1"/>
  </si>
  <si>
    <t>471</t>
    <phoneticPr fontId="1"/>
  </si>
  <si>
    <t>571</t>
    <phoneticPr fontId="1"/>
  </si>
  <si>
    <t>HM-CTE30</t>
  </si>
  <si>
    <t>HM-CTE60</t>
  </si>
  <si>
    <t>HM-CTE100</t>
  </si>
  <si>
    <t>HM-CTE02</t>
  </si>
  <si>
    <t>HM-CTE05</t>
  </si>
  <si>
    <t>HM-CTE10</t>
  </si>
  <si>
    <t>POK-C100G</t>
  </si>
  <si>
    <t>POK-C018G</t>
  </si>
  <si>
    <t>POK-C100X</t>
  </si>
  <si>
    <t>POK-S016</t>
  </si>
  <si>
    <t>CTセンサ(電流センサ)</t>
    <rPh sb="6" eb="8">
      <t>デンリュウ</t>
    </rPh>
    <phoneticPr fontId="1"/>
  </si>
  <si>
    <t>ケーブル</t>
    <phoneticPr fontId="1"/>
  </si>
  <si>
    <t>CTセンサ＋ケーブルセット</t>
    <phoneticPr fontId="1"/>
  </si>
  <si>
    <t>三菱HEMS</t>
    <rPh sb="0" eb="2">
      <t>ミツビシ</t>
    </rPh>
    <phoneticPr fontId="1"/>
  </si>
  <si>
    <t>PANA　HEMS</t>
    <phoneticPr fontId="1"/>
  </si>
  <si>
    <t>オムロン　HEMS</t>
    <phoneticPr fontId="1"/>
  </si>
  <si>
    <t>型番</t>
    <rPh sb="0" eb="2">
      <t>カタバン</t>
    </rPh>
    <phoneticPr fontId="1"/>
  </si>
  <si>
    <t>HQ-D-M06H-1Y/M用、2.5mケーブル付属</t>
    <rPh sb="14" eb="15">
      <t>ヨウ</t>
    </rPh>
    <phoneticPr fontId="1"/>
  </si>
  <si>
    <t>HQ-D-M06H-1Y/M用、2.5mケーブルは本体に付属</t>
    <rPh sb="14" eb="15">
      <t>ヨウ</t>
    </rPh>
    <rPh sb="25" eb="27">
      <t>ホンタイ</t>
    </rPh>
    <rPh sb="28" eb="30">
      <t>フゾク</t>
    </rPh>
    <phoneticPr fontId="1"/>
  </si>
  <si>
    <t>171</t>
    <phoneticPr fontId="1"/>
  </si>
  <si>
    <t>備考(接続機器例)</t>
    <rPh sb="0" eb="2">
      <t>ビコウ</t>
    </rPh>
    <rPh sb="3" eb="5">
      <t>セツゾク</t>
    </rPh>
    <rPh sb="5" eb="7">
      <t>キキ</t>
    </rPh>
    <rPh sb="7" eb="8">
      <t>レイ</t>
    </rPh>
    <phoneticPr fontId="1"/>
  </si>
  <si>
    <t>HM-EM03用：エアコン、冷蔵庫、食器洗い乾燥機等</t>
    <rPh sb="7" eb="8">
      <t>ヨウ</t>
    </rPh>
    <rPh sb="14" eb="17">
      <t>レイゾウコ</t>
    </rPh>
    <rPh sb="18" eb="20">
      <t>ショッキ</t>
    </rPh>
    <rPh sb="20" eb="21">
      <t>アラ</t>
    </rPh>
    <rPh sb="22" eb="25">
      <t>カンソウキ</t>
    </rPh>
    <rPh sb="25" eb="26">
      <t>トウ</t>
    </rPh>
    <phoneticPr fontId="1"/>
  </si>
  <si>
    <t>HM-EM03用：蓄電池、IHクッキングヒータ等</t>
    <rPh sb="7" eb="8">
      <t>ヨウ</t>
    </rPh>
    <rPh sb="9" eb="12">
      <t>チクデンチ</t>
    </rPh>
    <rPh sb="23" eb="24">
      <t>トウ</t>
    </rPh>
    <phoneticPr fontId="1"/>
  </si>
  <si>
    <t>HM-EM03用</t>
    <rPh sb="7" eb="8">
      <t>ヨウ</t>
    </rPh>
    <phoneticPr fontId="1"/>
  </si>
  <si>
    <t>PV-DC06J2-HQ</t>
    <phoneticPr fontId="1"/>
  </si>
  <si>
    <t>個</t>
    <rPh sb="0" eb="1">
      <t>コ</t>
    </rPh>
    <phoneticPr fontId="1"/>
  </si>
  <si>
    <t>セット</t>
    <phoneticPr fontId="1"/>
  </si>
  <si>
    <t>三菱PCSでHQ-D-M06H-1Y/1Mのみ選択時 (発電機の計測のみ)</t>
    <rPh sb="0" eb="2">
      <t>ミツビシ</t>
    </rPh>
    <rPh sb="23" eb="25">
      <t>センタク</t>
    </rPh>
    <rPh sb="25" eb="26">
      <t>ジ</t>
    </rPh>
    <rPh sb="28" eb="31">
      <t>ハツデンキ</t>
    </rPh>
    <rPh sb="32" eb="34">
      <t>ケイソク</t>
    </rPh>
    <phoneticPr fontId="1"/>
  </si>
  <si>
    <t>三菱PCSでHQ-D-M06H-1Y/1Mのみ選択時 (分岐計測のみ)</t>
    <rPh sb="0" eb="2">
      <t>ミツビシ</t>
    </rPh>
    <rPh sb="23" eb="25">
      <t>センタク</t>
    </rPh>
    <rPh sb="25" eb="26">
      <t>ジ</t>
    </rPh>
    <rPh sb="28" eb="30">
      <t>ブンキ</t>
    </rPh>
    <phoneticPr fontId="1"/>
  </si>
  <si>
    <t>ZEH/ZEH+補助金対応システムの見積作成シート</t>
    <rPh sb="8" eb="11">
      <t>ホジョキン</t>
    </rPh>
    <rPh sb="11" eb="13">
      <t>タイオウ</t>
    </rPh>
    <rPh sb="18" eb="20">
      <t>ミツ</t>
    </rPh>
    <rPh sb="20" eb="22">
      <t>サクセイ</t>
    </rPh>
    <phoneticPr fontId="1"/>
  </si>
  <si>
    <t>ZEH/ZEH+対応部材の拾い出し表</t>
    <phoneticPr fontId="1"/>
  </si>
  <si>
    <t>KP55S3-HY-3A</t>
    <phoneticPr fontId="1"/>
  </si>
  <si>
    <t>KPK-A40-HQ</t>
    <phoneticPr fontId="1"/>
  </si>
  <si>
    <t>KPK-A55-HQ</t>
    <phoneticPr fontId="1"/>
  </si>
  <si>
    <t>☜Panaの表示モニタ選択</t>
    <rPh sb="6" eb="8">
      <t>ヒョウジ</t>
    </rPh>
    <rPh sb="11" eb="13">
      <t>センタク</t>
    </rPh>
    <phoneticPr fontId="1"/>
  </si>
  <si>
    <t>☜AiSEG2の選択(モニタ有り無し）</t>
    <rPh sb="8" eb="10">
      <t>センタク</t>
    </rPh>
    <rPh sb="14" eb="15">
      <t>ア</t>
    </rPh>
    <rPh sb="16" eb="17">
      <t>ナ</t>
    </rPh>
    <phoneticPr fontId="1"/>
  </si>
  <si>
    <t>☜7型モニタ機能付き用の電源の選択</t>
    <rPh sb="2" eb="3">
      <t>ガタ</t>
    </rPh>
    <rPh sb="6" eb="8">
      <t>キノウ</t>
    </rPh>
    <rPh sb="8" eb="9">
      <t>ツ</t>
    </rPh>
    <rPh sb="10" eb="11">
      <t>ヨウ</t>
    </rPh>
    <rPh sb="12" eb="14">
      <t>デンゲン</t>
    </rPh>
    <rPh sb="15" eb="17">
      <t>センタク</t>
    </rPh>
    <phoneticPr fontId="1"/>
  </si>
  <si>
    <t>☜蓄電ネットアダプタの選択</t>
    <rPh sb="1" eb="3">
      <t>チクデン</t>
    </rPh>
    <rPh sb="11" eb="13">
      <t>センタク</t>
    </rPh>
    <phoneticPr fontId="1"/>
  </si>
  <si>
    <t>☜太陽光ネットアダプタの選択</t>
    <rPh sb="1" eb="4">
      <t>タイヨウコウ</t>
    </rPh>
    <rPh sb="12" eb="14">
      <t>センタク</t>
    </rPh>
    <phoneticPr fontId="1"/>
  </si>
  <si>
    <t>☜リモコンの選択</t>
    <rPh sb="6" eb="8">
      <t>センタク</t>
    </rPh>
    <phoneticPr fontId="1"/>
  </si>
  <si>
    <t>☜リモコン・送信U間ケーブルの選択</t>
    <rPh sb="6" eb="8">
      <t>ソウシン</t>
    </rPh>
    <rPh sb="9" eb="10">
      <t>カン</t>
    </rPh>
    <rPh sb="15" eb="17">
      <t>センタク</t>
    </rPh>
    <phoneticPr fontId="1"/>
  </si>
  <si>
    <t>☜パワコン・リモコンケーブルの選択</t>
    <rPh sb="15" eb="17">
      <t>センタク</t>
    </rPh>
    <phoneticPr fontId="1"/>
  </si>
  <si>
    <t>←⑦でAiSEG2用エネルギー計測ユニット(増設アダプタセット)を選択した場合は「なし」を選択して下さい。</t>
    <rPh sb="33" eb="35">
      <t>センタク</t>
    </rPh>
    <rPh sb="37" eb="39">
      <t>バアイ</t>
    </rPh>
    <rPh sb="45" eb="47">
      <t>センタク</t>
    </rPh>
    <rPh sb="49" eb="50">
      <t>クダ</t>
    </rPh>
    <phoneticPr fontId="1"/>
  </si>
  <si>
    <t>☜計測回路増設アダプタの選択</t>
    <rPh sb="1" eb="3">
      <t>ケイソク</t>
    </rPh>
    <rPh sb="3" eb="5">
      <t>カイロ</t>
    </rPh>
    <rPh sb="5" eb="7">
      <t>ゾウセツ</t>
    </rPh>
    <rPh sb="12" eb="14">
      <t>センタク</t>
    </rPh>
    <phoneticPr fontId="1"/>
  </si>
  <si>
    <t>☜計測ユニット分岐増設CTセット数量選択</t>
    <rPh sb="1" eb="3">
      <t>ケイソク</t>
    </rPh>
    <rPh sb="7" eb="9">
      <t>ブンキ</t>
    </rPh>
    <rPh sb="9" eb="11">
      <t>ゾウセツ</t>
    </rPh>
    <rPh sb="16" eb="18">
      <t>スウリョウ</t>
    </rPh>
    <rPh sb="18" eb="20">
      <t>センタク</t>
    </rPh>
    <phoneticPr fontId="1"/>
  </si>
  <si>
    <t>☜主幹用CT延長ケーブル選択(長さと本数)</t>
    <rPh sb="1" eb="3">
      <t>シュカン</t>
    </rPh>
    <rPh sb="3" eb="4">
      <t>ヨウ</t>
    </rPh>
    <rPh sb="6" eb="8">
      <t>エンチョウ</t>
    </rPh>
    <rPh sb="12" eb="14">
      <t>センタク</t>
    </rPh>
    <rPh sb="15" eb="16">
      <t>ナガ</t>
    </rPh>
    <rPh sb="18" eb="20">
      <t>ホンスウ</t>
    </rPh>
    <phoneticPr fontId="1"/>
  </si>
  <si>
    <t>☜分岐用CT延長ケーブル選択(長さと本数)</t>
    <rPh sb="1" eb="3">
      <t>ブンキ</t>
    </rPh>
    <rPh sb="3" eb="4">
      <t>ヨウ</t>
    </rPh>
    <rPh sb="6" eb="8">
      <t>エンチョウ</t>
    </rPh>
    <rPh sb="12" eb="14">
      <t>センタク</t>
    </rPh>
    <rPh sb="15" eb="16">
      <t>ナガ</t>
    </rPh>
    <rPh sb="18" eb="20">
      <t>ホンスウ</t>
    </rPh>
    <phoneticPr fontId="1"/>
  </si>
  <si>
    <t>KPハイブリッド</t>
    <phoneticPr fontId="1"/>
  </si>
  <si>
    <t>オムロンHYBでKP-MU2B-SETのみを選択した場合</t>
    <rPh sb="22" eb="24">
      <t>センタク</t>
    </rPh>
    <rPh sb="26" eb="28">
      <t>バアイ</t>
    </rPh>
    <phoneticPr fontId="1"/>
  </si>
  <si>
    <t>分岐計測用電流センサ(内径9.3mm)　2個</t>
    <phoneticPr fontId="1"/>
  </si>
  <si>
    <t>分岐計測用電流センサケーブル(3m)</t>
    <phoneticPr fontId="1"/>
  </si>
  <si>
    <t>KP-CT-T09AC30</t>
    <phoneticPr fontId="1"/>
  </si>
  <si>
    <t>KP-CHB-C4VG03N</t>
    <phoneticPr fontId="1"/>
  </si>
  <si>
    <t>ZEH/ZEH+</t>
    <phoneticPr fontId="1"/>
  </si>
  <si>
    <t>5回路まで</t>
  </si>
  <si>
    <t>5回路まで</t>
    <rPh sb="1" eb="3">
      <t>カイロ</t>
    </rPh>
    <phoneticPr fontId="1"/>
  </si>
  <si>
    <t>HM-CBE02</t>
    <phoneticPr fontId="1"/>
  </si>
  <si>
    <t>HM-CBE05</t>
    <phoneticPr fontId="1"/>
  </si>
  <si>
    <t>HM-CBE10</t>
    <phoneticPr fontId="1"/>
  </si>
  <si>
    <t>HM-CBE02</t>
    <phoneticPr fontId="1"/>
  </si>
  <si>
    <t>HM-CBE05</t>
    <phoneticPr fontId="1"/>
  </si>
  <si>
    <t>HM-CBE10</t>
    <phoneticPr fontId="1"/>
  </si>
  <si>
    <t>HM-GW03</t>
    <phoneticPr fontId="1"/>
  </si>
  <si>
    <t>単価</t>
    <rPh sb="0" eb="2">
      <t>タンカ</t>
    </rPh>
    <phoneticPr fontId="1"/>
  </si>
  <si>
    <t>HQJP PCS＋AiSEG2</t>
    <phoneticPr fontId="1"/>
  </si>
  <si>
    <t>分類1</t>
    <rPh sb="0" eb="2">
      <t>ブンルイ</t>
    </rPh>
    <phoneticPr fontId="1"/>
  </si>
  <si>
    <t>エネファーム等の発電機
2台以上</t>
    <rPh sb="6" eb="7">
      <t>トウ</t>
    </rPh>
    <rPh sb="8" eb="11">
      <t>ハツデンキ</t>
    </rPh>
    <rPh sb="13" eb="14">
      <t>ダイ</t>
    </rPh>
    <rPh sb="14" eb="16">
      <t>イジョウ</t>
    </rPh>
    <phoneticPr fontId="1"/>
  </si>
  <si>
    <t>エネファーム等の発電機
1台のみ</t>
    <phoneticPr fontId="1"/>
  </si>
  <si>
    <t>分岐回路数　6～14回路</t>
    <rPh sb="0" eb="2">
      <t>ブンキ</t>
    </rPh>
    <rPh sb="2" eb="4">
      <t>カイロ</t>
    </rPh>
    <rPh sb="4" eb="5">
      <t>スウ</t>
    </rPh>
    <rPh sb="10" eb="12">
      <t>カイロ</t>
    </rPh>
    <phoneticPr fontId="1"/>
  </si>
  <si>
    <t>分岐回路数　なし</t>
    <rPh sb="0" eb="2">
      <t>ブンキ</t>
    </rPh>
    <rPh sb="2" eb="4">
      <t>カイロ</t>
    </rPh>
    <rPh sb="4" eb="5">
      <t>スウ</t>
    </rPh>
    <phoneticPr fontId="1"/>
  </si>
  <si>
    <t>分岐回路数　2回路以下</t>
    <rPh sb="0" eb="2">
      <t>ブンキ</t>
    </rPh>
    <rPh sb="2" eb="4">
      <t>カイロ</t>
    </rPh>
    <rPh sb="4" eb="5">
      <t>スウ</t>
    </rPh>
    <rPh sb="7" eb="9">
      <t>カイロ</t>
    </rPh>
    <rPh sb="9" eb="11">
      <t>イカ</t>
    </rPh>
    <phoneticPr fontId="1"/>
  </si>
  <si>
    <t>分類3</t>
    <rPh sb="0" eb="2">
      <t>ブンルイ</t>
    </rPh>
    <phoneticPr fontId="1"/>
  </si>
  <si>
    <t>PANAのPCSでAiSEG2なしの場合</t>
    <rPh sb="18" eb="20">
      <t>バアイ</t>
    </rPh>
    <phoneticPr fontId="1"/>
  </si>
  <si>
    <t>・外部発電は既設の太陽光発電で、PCSまで含めたシステムをそのまま使用する場合の発電回路とする。</t>
    <rPh sb="1" eb="3">
      <t>ガイブ</t>
    </rPh>
    <rPh sb="3" eb="5">
      <t>ハツデン</t>
    </rPh>
    <rPh sb="6" eb="8">
      <t>キセツ</t>
    </rPh>
    <rPh sb="9" eb="12">
      <t>タイヨウコウ</t>
    </rPh>
    <rPh sb="12" eb="14">
      <t>ハツデン</t>
    </rPh>
    <rPh sb="21" eb="22">
      <t>フク</t>
    </rPh>
    <rPh sb="33" eb="35">
      <t>シヨウ</t>
    </rPh>
    <rPh sb="37" eb="39">
      <t>バアイ</t>
    </rPh>
    <rPh sb="40" eb="42">
      <t>ハツデン</t>
    </rPh>
    <rPh sb="42" eb="44">
      <t>カイロ</t>
    </rPh>
    <phoneticPr fontId="1"/>
  </si>
  <si>
    <t>・エネファームありの場合はAiSEG2及び関連部材の見積作成で部材を選択して下さい。</t>
    <rPh sb="10" eb="12">
      <t>バアイ</t>
    </rPh>
    <rPh sb="19" eb="20">
      <t>オヨ</t>
    </rPh>
    <rPh sb="21" eb="23">
      <t>カンレン</t>
    </rPh>
    <rPh sb="23" eb="25">
      <t>ブザイ</t>
    </rPh>
    <rPh sb="26" eb="28">
      <t>ミツモリ</t>
    </rPh>
    <rPh sb="28" eb="30">
      <t>サクセイ</t>
    </rPh>
    <rPh sb="31" eb="33">
      <t>ブザイ</t>
    </rPh>
    <rPh sb="34" eb="36">
      <t>センタク</t>
    </rPh>
    <rPh sb="38" eb="39">
      <t>クダ</t>
    </rPh>
    <phoneticPr fontId="1"/>
  </si>
  <si>
    <t>HYB蓄電池なし</t>
    <rPh sb="3" eb="6">
      <t>チクデンチ</t>
    </rPh>
    <phoneticPr fontId="1"/>
  </si>
  <si>
    <t>HQJBでAiSEG2なしの場合</t>
    <rPh sb="14" eb="16">
      <t>バアイ</t>
    </rPh>
    <phoneticPr fontId="1"/>
  </si>
  <si>
    <t>オムロンHYBでKP-MU2B-SET＋HM-GW03選択時</t>
    <rPh sb="27" eb="29">
      <t>センタク</t>
    </rPh>
    <rPh sb="29" eb="30">
      <t>ジ</t>
    </rPh>
    <phoneticPr fontId="1"/>
  </si>
  <si>
    <t>エネファーム等の発電機
なし</t>
    <phoneticPr fontId="1"/>
  </si>
  <si>
    <t>該当なし</t>
    <rPh sb="0" eb="2">
      <t>ガイトウ</t>
    </rPh>
    <phoneticPr fontId="1"/>
  </si>
  <si>
    <t>分岐回路数　5回路以下</t>
    <rPh sb="0" eb="2">
      <t>ブンキ</t>
    </rPh>
    <rPh sb="2" eb="4">
      <t>カイロ</t>
    </rPh>
    <rPh sb="4" eb="5">
      <t>スウ</t>
    </rPh>
    <rPh sb="7" eb="9">
      <t>カイロ</t>
    </rPh>
    <rPh sb="9" eb="11">
      <t>イカ</t>
    </rPh>
    <phoneticPr fontId="1"/>
  </si>
  <si>
    <t>分岐回路数　6回路以下</t>
    <rPh sb="0" eb="2">
      <t>ブンキ</t>
    </rPh>
    <rPh sb="2" eb="4">
      <t>カイロ</t>
    </rPh>
    <rPh sb="4" eb="5">
      <t>スウ</t>
    </rPh>
    <rPh sb="7" eb="9">
      <t>カイロ</t>
    </rPh>
    <rPh sb="9" eb="11">
      <t>イカ</t>
    </rPh>
    <phoneticPr fontId="1"/>
  </si>
  <si>
    <t>分岐回路数　15～38回路</t>
    <rPh sb="0" eb="2">
      <t>ブンキ</t>
    </rPh>
    <rPh sb="2" eb="4">
      <t>カイロ</t>
    </rPh>
    <rPh sb="4" eb="5">
      <t>スウ</t>
    </rPh>
    <rPh sb="11" eb="13">
      <t>カイロ</t>
    </rPh>
    <phoneticPr fontId="1"/>
  </si>
  <si>
    <t>分岐回路数　6～38回路</t>
    <rPh sb="0" eb="2">
      <t>ブンキ</t>
    </rPh>
    <rPh sb="2" eb="4">
      <t>カイロ</t>
    </rPh>
    <rPh sb="4" eb="5">
      <t>スウ</t>
    </rPh>
    <rPh sb="10" eb="12">
      <t>カイロ</t>
    </rPh>
    <phoneticPr fontId="1"/>
  </si>
  <si>
    <t>太陽光の外部発電なし</t>
    <rPh sb="0" eb="3">
      <t>タイヨウコウ</t>
    </rPh>
    <rPh sb="4" eb="6">
      <t>ガイブ</t>
    </rPh>
    <rPh sb="6" eb="8">
      <t>ハツデン</t>
    </rPh>
    <phoneticPr fontId="1"/>
  </si>
  <si>
    <t>太陽光の外部発電あり</t>
    <rPh sb="0" eb="3">
      <t>タイヨウコウ</t>
    </rPh>
    <rPh sb="4" eb="6">
      <t>ガイブ</t>
    </rPh>
    <rPh sb="6" eb="8">
      <t>ハツデン</t>
    </rPh>
    <phoneticPr fontId="1"/>
  </si>
  <si>
    <t>エネファーム等の発電機
1台のみ</t>
    <phoneticPr fontId="1"/>
  </si>
  <si>
    <t>エネファーム等の発電機
2台以上</t>
    <rPh sb="13" eb="16">
      <t>ダイイジョウ</t>
    </rPh>
    <phoneticPr fontId="1"/>
  </si>
  <si>
    <t>HQ-D PCS＋HQ-D-M06H-1M/1Y</t>
    <phoneticPr fontId="1"/>
  </si>
  <si>
    <t>分岐回路数　7～14回路</t>
    <rPh sb="0" eb="2">
      <t>ブンキ</t>
    </rPh>
    <rPh sb="2" eb="4">
      <t>カイロ</t>
    </rPh>
    <rPh sb="4" eb="5">
      <t>スウ</t>
    </rPh>
    <rPh sb="10" eb="12">
      <t>カイロ</t>
    </rPh>
    <phoneticPr fontId="1"/>
  </si>
  <si>
    <t>分岐回路数　3～5回路</t>
    <rPh sb="0" eb="2">
      <t>ブンキ</t>
    </rPh>
    <rPh sb="2" eb="4">
      <t>カイロ</t>
    </rPh>
    <rPh sb="4" eb="5">
      <t>スウ</t>
    </rPh>
    <rPh sb="9" eb="11">
      <t>カイロ</t>
    </rPh>
    <phoneticPr fontId="1"/>
  </si>
  <si>
    <t>分岐回路数　1～5回路</t>
    <rPh sb="0" eb="2">
      <t>ブンキ</t>
    </rPh>
    <rPh sb="2" eb="4">
      <t>カイロ</t>
    </rPh>
    <rPh sb="4" eb="5">
      <t>スウ</t>
    </rPh>
    <rPh sb="9" eb="11">
      <t>カイロ</t>
    </rPh>
    <phoneticPr fontId="1"/>
  </si>
  <si>
    <t>太陽光の外部発電あり</t>
    <phoneticPr fontId="1"/>
  </si>
  <si>
    <t>太陽光の外部発電なし</t>
    <phoneticPr fontId="1"/>
  </si>
  <si>
    <t>PCS</t>
    <phoneticPr fontId="1"/>
  </si>
  <si>
    <t>NO HYBPCS</t>
    <phoneticPr fontId="1"/>
  </si>
  <si>
    <t>HYBPCS</t>
    <phoneticPr fontId="1"/>
  </si>
  <si>
    <t>太陽光の外部発電なし
AC蓄電池あり</t>
    <rPh sb="0" eb="3">
      <t>タイヨウコウ</t>
    </rPh>
    <rPh sb="4" eb="6">
      <t>ガイブ</t>
    </rPh>
    <rPh sb="6" eb="8">
      <t>ハツデン</t>
    </rPh>
    <rPh sb="13" eb="16">
      <t>チクデンチ</t>
    </rPh>
    <phoneticPr fontId="1"/>
  </si>
  <si>
    <t>エネファーム、エコウィル等なし</t>
    <rPh sb="12" eb="13">
      <t>トウ</t>
    </rPh>
    <phoneticPr fontId="1"/>
  </si>
  <si>
    <t>太陽光の外部発電あり</t>
    <rPh sb="0" eb="3">
      <t>タイヨウコウ</t>
    </rPh>
    <rPh sb="4" eb="6">
      <t>ガイブ</t>
    </rPh>
    <rPh sb="6" eb="8">
      <t>ハツデン</t>
    </rPh>
    <phoneticPr fontId="1"/>
  </si>
  <si>
    <t>太陽光の外部発電なし</t>
    <rPh sb="0" eb="3">
      <t>タイヨウコウ</t>
    </rPh>
    <rPh sb="4" eb="6">
      <t>ガイブ</t>
    </rPh>
    <rPh sb="6" eb="8">
      <t>ハツデン</t>
    </rPh>
    <phoneticPr fontId="1"/>
  </si>
  <si>
    <t>エネファーム、エコウィル等あり</t>
    <phoneticPr fontId="1"/>
  </si>
  <si>
    <t>・上記の条件以外については該当するシステム構成がありません。</t>
    <rPh sb="1" eb="3">
      <t>ジョウキ</t>
    </rPh>
    <rPh sb="4" eb="6">
      <t>ジョウケン</t>
    </rPh>
    <rPh sb="6" eb="8">
      <t>イガイ</t>
    </rPh>
    <rPh sb="13" eb="15">
      <t>ガイトウ</t>
    </rPh>
    <rPh sb="21" eb="23">
      <t>コウセイ</t>
    </rPh>
    <phoneticPr fontId="1"/>
  </si>
  <si>
    <t>HQ-D PCS＋HQ-D-M06H-1M/1Y+HM-EM03-E/W</t>
    <phoneticPr fontId="1"/>
  </si>
  <si>
    <t>HQJB-H55R-A1＋HQJB-HNA-A1+AiSEG2</t>
    <phoneticPr fontId="1"/>
  </si>
  <si>
    <t>・HM-EM03-E/WはHM-EM03-Eが有線タイプ、HM-EM03-Wが無線タイプです。</t>
    <rPh sb="23" eb="25">
      <t>ユウセン</t>
    </rPh>
    <rPh sb="39" eb="41">
      <t>ムセン</t>
    </rPh>
    <phoneticPr fontId="1"/>
  </si>
  <si>
    <t>・HQ-D-M06H-1M/1YはHQ-M06H-1Mが計測ユニットとHM-GW03間が無線タイプ、HQ-D-M06U-1Yが計測ユニットとHM-GW03間が有線タイプになります。</t>
    <rPh sb="28" eb="30">
      <t>ケイソク</t>
    </rPh>
    <rPh sb="42" eb="43">
      <t>カン</t>
    </rPh>
    <rPh sb="44" eb="46">
      <t>ムセン</t>
    </rPh>
    <rPh sb="63" eb="65">
      <t>ケイソク</t>
    </rPh>
    <rPh sb="77" eb="78">
      <t>カン</t>
    </rPh>
    <rPh sb="79" eb="81">
      <t>ユウセン</t>
    </rPh>
    <phoneticPr fontId="1"/>
  </si>
  <si>
    <t>条件1</t>
    <rPh sb="0" eb="2">
      <t>ジョウケン</t>
    </rPh>
    <phoneticPr fontId="1"/>
  </si>
  <si>
    <t>条件2</t>
    <rPh sb="0" eb="2">
      <t>ジョウケン</t>
    </rPh>
    <phoneticPr fontId="1"/>
  </si>
  <si>
    <t>分岐回路数</t>
    <rPh sb="0" eb="2">
      <t>ブンキ</t>
    </rPh>
    <rPh sb="2" eb="4">
      <t>カイロ</t>
    </rPh>
    <rPh sb="4" eb="5">
      <t>スウ</t>
    </rPh>
    <phoneticPr fontId="1"/>
  </si>
  <si>
    <t>システム構成</t>
    <rPh sb="4" eb="6">
      <t>コウセイ</t>
    </rPh>
    <phoneticPr fontId="1"/>
  </si>
  <si>
    <t>HEMSシステム構成拾い出し表</t>
    <rPh sb="8" eb="10">
      <t>コウセイ</t>
    </rPh>
    <rPh sb="10" eb="11">
      <t>ヒロ</t>
    </rPh>
    <rPh sb="12" eb="13">
      <t>ダ</t>
    </rPh>
    <rPh sb="14" eb="15">
      <t>ヒョウ</t>
    </rPh>
    <phoneticPr fontId="1"/>
  </si>
  <si>
    <t>電流センサ(内径16mm)増設用</t>
    <rPh sb="0" eb="2">
      <t>デンリュウ</t>
    </rPh>
    <rPh sb="6" eb="8">
      <t>ナイケイ</t>
    </rPh>
    <rPh sb="13" eb="15">
      <t>ゾウセツ</t>
    </rPh>
    <rPh sb="15" eb="16">
      <t>ヨウ</t>
    </rPh>
    <phoneticPr fontId="1"/>
  </si>
  <si>
    <t>POK-S016</t>
    <phoneticPr fontId="1"/>
  </si>
  <si>
    <t>POK-C100X</t>
    <phoneticPr fontId="1"/>
  </si>
  <si>
    <t>品名</t>
    <rPh sb="0" eb="2">
      <t>ヒンメイ</t>
    </rPh>
    <phoneticPr fontId="1"/>
  </si>
  <si>
    <t>エネファーム、エコウィル等なし</t>
    <phoneticPr fontId="1"/>
  </si>
  <si>
    <t>三菱PCSでHQ-D-M06H-1Y/1M+HM-EM03　選択時</t>
    <rPh sb="30" eb="32">
      <t>センタク</t>
    </rPh>
    <rPh sb="32" eb="33">
      <t>ジ</t>
    </rPh>
    <phoneticPr fontId="1"/>
  </si>
  <si>
    <t>HYB蓄電池あり</t>
    <phoneticPr fontId="1"/>
  </si>
  <si>
    <t>HQJB-H55R-A1＋HQJB-HNA-A1+AiSEG2
KP55S3-HY-3A+KP-MU2B-SET</t>
    <phoneticPr fontId="1"/>
  </si>
  <si>
    <t>HQJB-H55R-A1＋HQJB-HNA-A1+AiSEG2
KP55S3-HY-3A+KP-MU2B-SET＋HM-GW03+HM-EM03-E/W</t>
    <phoneticPr fontId="1"/>
  </si>
  <si>
    <t>外部発電(既設の太陽光発電)は1回路、分岐回路は6回路になります。</t>
    <rPh sb="5" eb="7">
      <t>キセツ</t>
    </rPh>
    <rPh sb="8" eb="11">
      <t>タイヨウコウ</t>
    </rPh>
    <rPh sb="11" eb="13">
      <t>ハツデン</t>
    </rPh>
    <phoneticPr fontId="1"/>
  </si>
  <si>
    <t>HQ-D-M06H-1Y/M用、2.5mケーブル付属:蓄電池、エコキュート、エネファーム等の外部発電機</t>
    <rPh sb="14" eb="15">
      <t>ヨウ</t>
    </rPh>
    <rPh sb="27" eb="30">
      <t>チクデンチ</t>
    </rPh>
    <rPh sb="44" eb="45">
      <t>トウ</t>
    </rPh>
    <rPh sb="46" eb="48">
      <t>ガイブ</t>
    </rPh>
    <rPh sb="48" eb="50">
      <t>ハツデン</t>
    </rPh>
    <phoneticPr fontId="1"/>
  </si>
  <si>
    <t>外部発電(既設の太陽光発電、エネファーム、エコウィル等)は1回路、分岐回路は5回路になります。</t>
    <rPh sb="0" eb="2">
      <t>ガイブ</t>
    </rPh>
    <rPh sb="2" eb="4">
      <t>ハツデン</t>
    </rPh>
    <rPh sb="5" eb="7">
      <t>キセツ</t>
    </rPh>
    <rPh sb="8" eb="11">
      <t>タイヨウコウ</t>
    </rPh>
    <rPh sb="11" eb="13">
      <t>ハツデン</t>
    </rPh>
    <rPh sb="26" eb="27">
      <t>トウ</t>
    </rPh>
    <rPh sb="30" eb="32">
      <t>カイロ</t>
    </rPh>
    <rPh sb="33" eb="35">
      <t>ブンキ</t>
    </rPh>
    <rPh sb="35" eb="37">
      <t>カイロ</t>
    </rPh>
    <rPh sb="39" eb="41">
      <t>カイロ</t>
    </rPh>
    <phoneticPr fontId="1"/>
  </si>
  <si>
    <t>分類2</t>
    <rPh sb="0" eb="2">
      <t>ブンルイ</t>
    </rPh>
    <phoneticPr fontId="1"/>
  </si>
  <si>
    <t>太陽光の外部発電なし</t>
    <phoneticPr fontId="1"/>
  </si>
  <si>
    <t>主幹/外部発電機用　電流センサ(内径24mm)2個</t>
    <phoneticPr fontId="1"/>
  </si>
  <si>
    <t>外部発電機用電流センサケーブル(3m)</t>
    <phoneticPr fontId="1"/>
  </si>
  <si>
    <t>KP-CT-S24AC100</t>
    <phoneticPr fontId="1"/>
  </si>
  <si>
    <t>KP-CT-S24AC100</t>
    <phoneticPr fontId="1"/>
  </si>
  <si>
    <t>KP-CHC-C4VG03N</t>
    <phoneticPr fontId="1"/>
  </si>
  <si>
    <t>KP-CHC-C4VG03N</t>
    <phoneticPr fontId="1"/>
  </si>
  <si>
    <t>電流センサ(内径16mm)増設用</t>
    <phoneticPr fontId="1"/>
  </si>
  <si>
    <t>電流センサ増設用ケーブル(10m)</t>
    <phoneticPr fontId="1"/>
  </si>
  <si>
    <t>POK-S016</t>
    <phoneticPr fontId="1"/>
  </si>
  <si>
    <t>POK-S016</t>
    <phoneticPr fontId="1"/>
  </si>
  <si>
    <t>POK-C100X</t>
    <phoneticPr fontId="1"/>
  </si>
  <si>
    <t>POK-C100X</t>
    <phoneticPr fontId="1"/>
  </si>
  <si>
    <t>HQ-D PCS＋HQ-D-M06H-1M/1Y＋HM-EM03-E/W
HQJP PCS＋AiSEG2</t>
    <phoneticPr fontId="1"/>
  </si>
  <si>
    <t>分岐計測は2回路までです。計測可能な電線外径は6ｍｍ未満です。
本見積は分岐計測が2回路の見積です。
個別電力計測用電流センサーには2.5mのケーブルが同梱されています。
分電盤は一般分電盤としています。</t>
    <rPh sb="0" eb="2">
      <t>ブンキ</t>
    </rPh>
    <rPh sb="2" eb="4">
      <t>ケイソク</t>
    </rPh>
    <rPh sb="6" eb="8">
      <t>カイロ</t>
    </rPh>
    <rPh sb="76" eb="78">
      <t>ドウコン</t>
    </rPh>
    <phoneticPr fontId="1"/>
  </si>
  <si>
    <t>外部発電機、蓄電池、他社製パワコンのうち1台、分岐計測が2台と仮定して積算しています。
外部発電機、蓄電池、他社製パワコンのうち1台、分岐計測は2台分がHM-EM03-Eの付属品として同梱されています。
外部発電機等を計測する電流センサは60Aまで、電線外径は9.7mm未満です。
分岐計測の電流センサは30Aまで、電線外径は5.7mm未満です。
HM-EM03-Eは有線タイプです。HM-EM03-W(無線タイプ)に変更可能です。
分岐計測は最大14回路まで計測可能です。
分電盤は一般分電盤としています。</t>
    <rPh sb="21" eb="22">
      <t>ダイ</t>
    </rPh>
    <rPh sb="23" eb="25">
      <t>ブンキ</t>
    </rPh>
    <rPh sb="25" eb="27">
      <t>ケイソク</t>
    </rPh>
    <rPh sb="29" eb="30">
      <t>ダイ</t>
    </rPh>
    <rPh sb="31" eb="33">
      <t>カテイ</t>
    </rPh>
    <rPh sb="35" eb="37">
      <t>セキサン</t>
    </rPh>
    <rPh sb="102" eb="104">
      <t>ガイブ</t>
    </rPh>
    <rPh sb="104" eb="106">
      <t>ハツデン</t>
    </rPh>
    <rPh sb="106" eb="107">
      <t>キ</t>
    </rPh>
    <rPh sb="107" eb="108">
      <t>トウ</t>
    </rPh>
    <rPh sb="109" eb="111">
      <t>ケイソク</t>
    </rPh>
    <rPh sb="113" eb="115">
      <t>デンリュウ</t>
    </rPh>
    <rPh sb="125" eb="127">
      <t>デンセン</t>
    </rPh>
    <rPh sb="127" eb="129">
      <t>ガイケイ</t>
    </rPh>
    <rPh sb="135" eb="137">
      <t>ミマン</t>
    </rPh>
    <rPh sb="141" eb="143">
      <t>ブンキ</t>
    </rPh>
    <rPh sb="143" eb="145">
      <t>ケイソク</t>
    </rPh>
    <rPh sb="146" eb="148">
      <t>デンリュウ</t>
    </rPh>
    <rPh sb="158" eb="160">
      <t>デンセン</t>
    </rPh>
    <rPh sb="160" eb="162">
      <t>ガイケイ</t>
    </rPh>
    <rPh sb="168" eb="170">
      <t>ミマン</t>
    </rPh>
    <rPh sb="184" eb="186">
      <t>ユウセン</t>
    </rPh>
    <rPh sb="217" eb="219">
      <t>ブンキ</t>
    </rPh>
    <rPh sb="219" eb="221">
      <t>ケイソク</t>
    </rPh>
    <rPh sb="222" eb="224">
      <t>サイダイ</t>
    </rPh>
    <rPh sb="226" eb="228">
      <t>カイロ</t>
    </rPh>
    <rPh sb="230" eb="232">
      <t>ケイソク</t>
    </rPh>
    <rPh sb="232" eb="234">
      <t>カノウ</t>
    </rPh>
    <rPh sb="238" eb="241">
      <t>ブンデンバン</t>
    </rPh>
    <rPh sb="242" eb="244">
      <t>イッパン</t>
    </rPh>
    <rPh sb="244" eb="247">
      <t>ブンデンバン</t>
    </rPh>
    <phoneticPr fontId="1"/>
  </si>
  <si>
    <t>本見積は外部発電機、蓄電池、他社製パワコンのうち1台のみの計測であり、分岐計測はできません。
発電電力計測用電流センサーには2.5mのケーブルが同梱されています。
分電盤は一般分電盤としています。</t>
    <rPh sb="0" eb="1">
      <t>ホン</t>
    </rPh>
    <rPh sb="1" eb="3">
      <t>ミツモリ</t>
    </rPh>
    <rPh sb="4" eb="6">
      <t>ガイブ</t>
    </rPh>
    <rPh sb="6" eb="9">
      <t>ハツデンキ</t>
    </rPh>
    <rPh sb="10" eb="13">
      <t>チクデンチ</t>
    </rPh>
    <rPh sb="14" eb="17">
      <t>タシャセイ</t>
    </rPh>
    <rPh sb="25" eb="26">
      <t>ダイ</t>
    </rPh>
    <rPh sb="29" eb="31">
      <t>ケイソク</t>
    </rPh>
    <rPh sb="35" eb="37">
      <t>ブンキ</t>
    </rPh>
    <rPh sb="37" eb="39">
      <t>ケイソク</t>
    </rPh>
    <rPh sb="72" eb="74">
      <t>ドウコン</t>
    </rPh>
    <phoneticPr fontId="1"/>
  </si>
  <si>
    <t>本見積は外部発電機、蓄電池、他社製パワコンのうち1台のみの計測であり、分岐計測はできません。
計測可能な電線外径は10ｍｍ未満です。
発電電力計測用電流センサーには2.5mのケーブルが同梱されています。
分電盤は一般分電盤としています。</t>
    <rPh sb="0" eb="1">
      <t>ホン</t>
    </rPh>
    <rPh sb="1" eb="3">
      <t>ミツモリ</t>
    </rPh>
    <rPh sb="25" eb="26">
      <t>ダイ</t>
    </rPh>
    <rPh sb="29" eb="31">
      <t>ケイソク</t>
    </rPh>
    <rPh sb="35" eb="37">
      <t>ブンキ</t>
    </rPh>
    <rPh sb="37" eb="39">
      <t>ケイソク</t>
    </rPh>
    <rPh sb="47" eb="49">
      <t>ケイソク</t>
    </rPh>
    <rPh sb="49" eb="51">
      <t>カノウ</t>
    </rPh>
    <rPh sb="52" eb="54">
      <t>デンセン</t>
    </rPh>
    <rPh sb="54" eb="56">
      <t>ガイケイ</t>
    </rPh>
    <rPh sb="61" eb="63">
      <t>ミマン</t>
    </rPh>
    <rPh sb="92" eb="94">
      <t>ドウコン</t>
    </rPh>
    <phoneticPr fontId="1"/>
  </si>
  <si>
    <t>外部発電機(太陽光発電)は1台計測可能です。計測電流は100Aまでです。電線外径は24mm未満です。
分岐計測は最大6回路まで可能ですが、本見積では2回路分で積算しています。
分岐計測が7回路以上必要な場合は別途HM-EM03-E(有線タイプ）またはHM-EM03-W(無線タイプ）を追加して下さい。
エネファーム・エコウィル等の外部発電機との併設は不可です。
分電盤は一般分電盤としています。</t>
    <rPh sb="0" eb="2">
      <t>ガイブ</t>
    </rPh>
    <rPh sb="2" eb="4">
      <t>ハツデン</t>
    </rPh>
    <rPh sb="4" eb="5">
      <t>キ</t>
    </rPh>
    <rPh sb="6" eb="9">
      <t>タイヨウコウ</t>
    </rPh>
    <rPh sb="9" eb="11">
      <t>ハツデン</t>
    </rPh>
    <rPh sb="14" eb="15">
      <t>ダイ</t>
    </rPh>
    <rPh sb="15" eb="17">
      <t>ケイソク</t>
    </rPh>
    <rPh sb="17" eb="19">
      <t>カノウ</t>
    </rPh>
    <rPh sb="22" eb="24">
      <t>ケイソク</t>
    </rPh>
    <rPh sb="24" eb="26">
      <t>デンリュウ</t>
    </rPh>
    <rPh sb="36" eb="38">
      <t>デンセン</t>
    </rPh>
    <rPh sb="38" eb="40">
      <t>ガイケイ</t>
    </rPh>
    <rPh sb="45" eb="47">
      <t>ミマン</t>
    </rPh>
    <rPh sb="53" eb="55">
      <t>ケイソク</t>
    </rPh>
    <rPh sb="56" eb="58">
      <t>サイダイ</t>
    </rPh>
    <rPh sb="59" eb="61">
      <t>カイロ</t>
    </rPh>
    <rPh sb="63" eb="65">
      <t>カノウ</t>
    </rPh>
    <rPh sb="69" eb="70">
      <t>ホン</t>
    </rPh>
    <rPh sb="70" eb="72">
      <t>ミツモリ</t>
    </rPh>
    <rPh sb="77" eb="78">
      <t>ブン</t>
    </rPh>
    <rPh sb="88" eb="90">
      <t>ブンキ</t>
    </rPh>
    <rPh sb="90" eb="92">
      <t>ケイソク</t>
    </rPh>
    <rPh sb="98" eb="100">
      <t>ヒツヨウ</t>
    </rPh>
    <rPh sb="101" eb="103">
      <t>バアイ</t>
    </rPh>
    <rPh sb="104" eb="106">
      <t>ベット</t>
    </rPh>
    <rPh sb="116" eb="118">
      <t>ユウセン</t>
    </rPh>
    <rPh sb="135" eb="137">
      <t>ムセン</t>
    </rPh>
    <rPh sb="142" eb="144">
      <t>ツイカ</t>
    </rPh>
    <rPh sb="146" eb="147">
      <t>クダ</t>
    </rPh>
    <rPh sb="163" eb="164">
      <t>トウ</t>
    </rPh>
    <rPh sb="165" eb="167">
      <t>ガイブ</t>
    </rPh>
    <rPh sb="167" eb="170">
      <t>ハツデンキ</t>
    </rPh>
    <rPh sb="172" eb="174">
      <t>ヘイセツ</t>
    </rPh>
    <rPh sb="175" eb="177">
      <t>フカ</t>
    </rPh>
    <phoneticPr fontId="1"/>
  </si>
  <si>
    <t>分岐計測は最大6回路まで可能ですが、本見積では2回路分で積算しています。
分岐計測が7回路以上必要な場合は別途HM-EM03-E(有線タイプ）またはHM-EM03-W(無線タイプ）を追加して下さい。
エネファーム・エコウィル等の外部発電機との併設は不可です。
分電盤は一般分電盤としています。</t>
    <rPh sb="37" eb="39">
      <t>ブンキ</t>
    </rPh>
    <rPh sb="39" eb="41">
      <t>ケイソク</t>
    </rPh>
    <rPh sb="47" eb="49">
      <t>ヒツヨウ</t>
    </rPh>
    <rPh sb="50" eb="52">
      <t>バアイ</t>
    </rPh>
    <rPh sb="53" eb="55">
      <t>ベット</t>
    </rPh>
    <rPh sb="65" eb="67">
      <t>ユウセン</t>
    </rPh>
    <rPh sb="84" eb="86">
      <t>ムセン</t>
    </rPh>
    <rPh sb="91" eb="93">
      <t>ツイカ</t>
    </rPh>
    <rPh sb="95" eb="96">
      <t>クダ</t>
    </rPh>
    <rPh sb="112" eb="113">
      <t>トウ</t>
    </rPh>
    <rPh sb="114" eb="116">
      <t>ガイブ</t>
    </rPh>
    <rPh sb="116" eb="119">
      <t>ハツデンキ</t>
    </rPh>
    <rPh sb="121" eb="123">
      <t>ヘイセツ</t>
    </rPh>
    <rPh sb="124" eb="126">
      <t>フカ</t>
    </rPh>
    <phoneticPr fontId="1"/>
  </si>
  <si>
    <t>分岐回路の拾い出し例（ZEH,ZEH+が可能な最小分岐数を想定）</t>
    <rPh sb="0" eb="2">
      <t>ブンキ</t>
    </rPh>
    <rPh sb="2" eb="4">
      <t>カイロ</t>
    </rPh>
    <rPh sb="5" eb="6">
      <t>ヒロ</t>
    </rPh>
    <rPh sb="7" eb="8">
      <t>ダ</t>
    </rPh>
    <rPh sb="9" eb="10">
      <t>レイ</t>
    </rPh>
    <rPh sb="20" eb="22">
      <t>カノウ</t>
    </rPh>
    <rPh sb="23" eb="25">
      <t>サイショウ</t>
    </rPh>
    <rPh sb="25" eb="27">
      <t>ブンキ</t>
    </rPh>
    <rPh sb="27" eb="28">
      <t>スウ</t>
    </rPh>
    <rPh sb="29" eb="31">
      <t>ソウテイ</t>
    </rPh>
    <phoneticPr fontId="1"/>
  </si>
  <si>
    <t>分岐計測は最大6回路まで可能ですが、本見積では2回路分で積算しています。
エネファーム・エコウィル等の外部発電機との併設は不可です。
分電盤は一般分電盤としています。</t>
    <phoneticPr fontId="1"/>
  </si>
  <si>
    <t>①補助金種類</t>
    <rPh sb="1" eb="4">
      <t>ホジョキン</t>
    </rPh>
    <rPh sb="4" eb="6">
      <t>シュルイ</t>
    </rPh>
    <phoneticPr fontId="1"/>
  </si>
  <si>
    <t>②パワーコンディショナ種類</t>
    <rPh sb="11" eb="13">
      <t>シュルイ</t>
    </rPh>
    <phoneticPr fontId="1"/>
  </si>
  <si>
    <t>③計測ユニット種類</t>
    <rPh sb="1" eb="3">
      <t>ケイソク</t>
    </rPh>
    <rPh sb="7" eb="9">
      <t>シュルイ</t>
    </rPh>
    <phoneticPr fontId="1"/>
  </si>
  <si>
    <t>④エネルギー計測/情報収集ユニット種類</t>
    <rPh sb="6" eb="8">
      <t>ケイソク</t>
    </rPh>
    <rPh sb="9" eb="11">
      <t>ジョウホウ</t>
    </rPh>
    <rPh sb="11" eb="13">
      <t>シュウシュウ</t>
    </rPh>
    <rPh sb="17" eb="19">
      <t>シュルイ</t>
    </rPh>
    <phoneticPr fontId="1"/>
  </si>
  <si>
    <t>⑤設置する分電盤種類</t>
    <rPh sb="1" eb="3">
      <t>セッチ</t>
    </rPh>
    <rPh sb="5" eb="8">
      <t>ブンデンバン</t>
    </rPh>
    <rPh sb="8" eb="10">
      <t>シュルイ</t>
    </rPh>
    <phoneticPr fontId="1"/>
  </si>
  <si>
    <r>
      <t xml:space="preserve">外部発電機(太陽光発電)は1台計測可能です。計測電流は100Aまでです。電線外径は24mm未満です。
分岐計測は最大6回路まで可能ですが、本見積では2回路分で積算しています。
エネファーム・エコウィル等の外部発電機との併設は不可です。
分電盤は一般分電盤としています。
</t>
    </r>
    <r>
      <rPr>
        <sz val="11"/>
        <color rgb="FFFF0000"/>
        <rFont val="Meiryo UI"/>
        <family val="3"/>
        <charset val="128"/>
      </rPr>
      <t>補助金対象はZEHのみになります。</t>
    </r>
    <rPh sb="135" eb="138">
      <t>ホジョキン</t>
    </rPh>
    <rPh sb="138" eb="140">
      <t>タイショウ</t>
    </rPh>
    <phoneticPr fontId="1"/>
  </si>
  <si>
    <r>
      <t xml:space="preserve">外部発電機(太陽光発電)が1台計測可能です。計測電流は100Aまでです。電線外径は16mm未満です。
電流センサーの計測電流は20Aです。電線外径は10mm未満です。
分岐計測は最大5回路まで可能ですが、本見積では2回路分で積算しています。
分電盤は一般分電盤としています。
</t>
    </r>
    <r>
      <rPr>
        <sz val="11"/>
        <color rgb="FFFF0000"/>
        <rFont val="Meiryo UI"/>
        <family val="3"/>
        <charset val="128"/>
      </rPr>
      <t>補助金対象はZEHのみになります。</t>
    </r>
    <rPh sb="84" eb="86">
      <t>ブンキ</t>
    </rPh>
    <rPh sb="86" eb="88">
      <t>ケイソク</t>
    </rPh>
    <rPh sb="89" eb="91">
      <t>サイダイ</t>
    </rPh>
    <rPh sb="92" eb="94">
      <t>カイロ</t>
    </rPh>
    <rPh sb="96" eb="98">
      <t>カノウ</t>
    </rPh>
    <rPh sb="102" eb="103">
      <t>ホン</t>
    </rPh>
    <rPh sb="103" eb="105">
      <t>ミツモリ</t>
    </rPh>
    <rPh sb="108" eb="110">
      <t>カイロ</t>
    </rPh>
    <rPh sb="110" eb="111">
      <t>ブン</t>
    </rPh>
    <rPh sb="112" eb="114">
      <t>セキサン</t>
    </rPh>
    <phoneticPr fontId="1"/>
  </si>
  <si>
    <r>
      <t xml:space="preserve">外部発電機(エネファーム、エコウィル等)が1台計測可能です。電流センサは計測電流は60Aまで、電線外径は16mm未満です。
エネファームエコウィル等についてはPanasonic製エネファームのみ確認済みで、停電時エネファームは使用できません。
電流センサーの計測電流は20Aです。電線外径は10mm未満です。
分岐計測は最大5回路まで可能ですが、本見積では2回路分で積算しています。
分電盤は一般分電盤としています。
</t>
    </r>
    <r>
      <rPr>
        <sz val="11"/>
        <color rgb="FFFF0000"/>
        <rFont val="Meiryo UI"/>
        <family val="3"/>
        <charset val="128"/>
      </rPr>
      <t>補助金対象はZEHのみになります。</t>
    </r>
    <rPh sb="18" eb="19">
      <t>トウ</t>
    </rPh>
    <rPh sb="23" eb="25">
      <t>ケイソク</t>
    </rPh>
    <rPh sb="25" eb="27">
      <t>カノウ</t>
    </rPh>
    <rPh sb="30" eb="32">
      <t>デンリュウ</t>
    </rPh>
    <rPh sb="36" eb="38">
      <t>ケイソク</t>
    </rPh>
    <rPh sb="38" eb="40">
      <t>デンリュウ</t>
    </rPh>
    <rPh sb="47" eb="49">
      <t>デンセン</t>
    </rPh>
    <rPh sb="49" eb="51">
      <t>ガイケイ</t>
    </rPh>
    <rPh sb="56" eb="58">
      <t>ミマン</t>
    </rPh>
    <rPh sb="73" eb="74">
      <t>トウ</t>
    </rPh>
    <rPh sb="155" eb="157">
      <t>ブンキ</t>
    </rPh>
    <rPh sb="157" eb="159">
      <t>ケイソク</t>
    </rPh>
    <rPh sb="173" eb="174">
      <t>ホン</t>
    </rPh>
    <rPh sb="174" eb="176">
      <t>ミツモリ</t>
    </rPh>
    <rPh sb="179" eb="181">
      <t>カイロ</t>
    </rPh>
    <rPh sb="181" eb="182">
      <t>ブン</t>
    </rPh>
    <rPh sb="183" eb="185">
      <t>セキサン</t>
    </rPh>
    <phoneticPr fontId="1"/>
  </si>
  <si>
    <r>
      <t xml:space="preserve">電流センサーの計測電流は20Aです。電線外径は10mm未満です。
分岐計測は最大5回路まで可能ですが、本見積では2回路分で積算しています。
分電盤は一般分電盤としています。
</t>
    </r>
    <r>
      <rPr>
        <sz val="11"/>
        <color rgb="FFFF0000"/>
        <rFont val="Meiryo UI"/>
        <family val="3"/>
        <charset val="128"/>
      </rPr>
      <t>補助金対象はZEHのみになります。</t>
    </r>
    <rPh sb="33" eb="35">
      <t>ブンキ</t>
    </rPh>
    <rPh sb="35" eb="37">
      <t>ケイソク</t>
    </rPh>
    <rPh sb="38" eb="40">
      <t>サイダイ</t>
    </rPh>
    <rPh sb="41" eb="43">
      <t>カイロ</t>
    </rPh>
    <rPh sb="45" eb="47">
      <t>カノウ</t>
    </rPh>
    <rPh sb="51" eb="52">
      <t>ホン</t>
    </rPh>
    <rPh sb="52" eb="54">
      <t>ミツモリ</t>
    </rPh>
    <rPh sb="57" eb="59">
      <t>カイロ</t>
    </rPh>
    <rPh sb="59" eb="60">
      <t>ブン</t>
    </rPh>
    <rPh sb="61" eb="63">
      <t>セキサン</t>
    </rPh>
    <phoneticPr fontId="1"/>
  </si>
  <si>
    <r>
      <t xml:space="preserve">外部発電機が1台計測可能です。電流センサは計測電流は60Aまで、電線外径は16mm未満です。
電流センサーの計測電流は20Aです。電線外径は10mm未満です。
分岐計測は最大5回路まで可能ですが、本見積では2回路分で積算しています。
分電盤は一般分電盤としています。
</t>
    </r>
    <r>
      <rPr>
        <sz val="11"/>
        <color rgb="FFFF0000"/>
        <rFont val="Meiryo UI"/>
        <family val="3"/>
        <charset val="128"/>
      </rPr>
      <t>補助金対象はZEHのみになります。</t>
    </r>
    <phoneticPr fontId="1"/>
  </si>
  <si>
    <t>対象補助金</t>
    <rPh sb="0" eb="2">
      <t>タイショウ</t>
    </rPh>
    <rPh sb="2" eb="5">
      <t>ホジョキン</t>
    </rPh>
    <phoneticPr fontId="1"/>
  </si>
  <si>
    <t>ZEH</t>
    <phoneticPr fontId="1"/>
  </si>
  <si>
    <t>ZEH/ZEH+</t>
    <phoneticPr fontId="1"/>
  </si>
  <si>
    <t>HQJB:ZEH/ZEH+
KP：ZEH</t>
    <phoneticPr fontId="1"/>
  </si>
  <si>
    <t>・HQ-D-M06H-1M/1Yのみの場合は、計測回路数に制限があるため、住宅の設備によっては補助金対象にならない可能性があります。</t>
    <rPh sb="19" eb="21">
      <t>バアイ</t>
    </rPh>
    <rPh sb="23" eb="25">
      <t>ケイソク</t>
    </rPh>
    <rPh sb="25" eb="27">
      <t>カイロ</t>
    </rPh>
    <rPh sb="27" eb="28">
      <t>スウ</t>
    </rPh>
    <rPh sb="29" eb="31">
      <t>セイゲン</t>
    </rPh>
    <rPh sb="37" eb="39">
      <t>ジュウタク</t>
    </rPh>
    <rPh sb="40" eb="42">
      <t>セツビ</t>
    </rPh>
    <rPh sb="47" eb="50">
      <t>ホジョキン</t>
    </rPh>
    <rPh sb="50" eb="52">
      <t>タイショウ</t>
    </rPh>
    <rPh sb="57" eb="60">
      <t>カノウセイ</t>
    </rPh>
    <phoneticPr fontId="1"/>
  </si>
  <si>
    <t>HQ-D:ZEH/ZEH+
HQJP:ZEH
HQJP+AiSEG2:ZEH/ZEH+</t>
    <phoneticPr fontId="1"/>
  </si>
  <si>
    <t>HQ-D PCS＋HQ-D-M06H-1M/1Y＋HM-EM03-E/W
HQJP PCS＋AiSEG2</t>
    <phoneticPr fontId="1"/>
  </si>
  <si>
    <t>HQ-D PCS＋HQ-D-M06H-1M/1Y
HQJP PCS＋HQJP-MOTS-A2またはHQJP-MSET-A2
HQJP PCS＋AiSEG2</t>
    <phoneticPr fontId="1"/>
  </si>
  <si>
    <t>HQ-D PCS＋HQ-D-M06H-1M/1Y＋HM-EM03-E/W
HQJP PCS＋HQJP-MOTS-A2またはHQJP-MSET-A2
HQJP PCS＋AiSEG2</t>
    <phoneticPr fontId="1"/>
  </si>
  <si>
    <t>外部発電機、蓄電池、他社製パワコン1台あり</t>
    <rPh sb="18" eb="19">
      <t>ダイ</t>
    </rPh>
    <phoneticPr fontId="1"/>
  </si>
  <si>
    <t>外部発電機、蓄電池、他社製パワコンなし</t>
    <phoneticPr fontId="1"/>
  </si>
  <si>
    <t>2019.7.24</t>
    <phoneticPr fontId="1"/>
  </si>
  <si>
    <t>KP55S3-HY-3Aを追加</t>
    <rPh sb="13" eb="15">
      <t>ツイカ</t>
    </rPh>
    <phoneticPr fontId="1"/>
  </si>
  <si>
    <t>HEMS等補助金対応システムの見積作成シート等を追加</t>
    <rPh sb="4" eb="5">
      <t>トウ</t>
    </rPh>
    <rPh sb="5" eb="8">
      <t>ホジョキン</t>
    </rPh>
    <rPh sb="8" eb="10">
      <t>タイオウ</t>
    </rPh>
    <rPh sb="15" eb="17">
      <t>ミツモリ</t>
    </rPh>
    <rPh sb="17" eb="19">
      <t>サクセイ</t>
    </rPh>
    <rPh sb="22" eb="23">
      <t>トウ</t>
    </rPh>
    <rPh sb="24" eb="26">
      <t>ツイカ</t>
    </rPh>
    <phoneticPr fontId="1"/>
  </si>
  <si>
    <t>情報収集ユニット(HM-GW03)</t>
    <rPh sb="0" eb="2">
      <t>ジョウホウ</t>
    </rPh>
    <rPh sb="2" eb="4">
      <t>シュウシュウ</t>
    </rPh>
    <phoneticPr fontId="1"/>
  </si>
  <si>
    <t>情報収集ユニット+エネルギー計測ユニット有線方式</t>
    <rPh sb="0" eb="2">
      <t>ジョウホウ</t>
    </rPh>
    <rPh sb="2" eb="4">
      <t>シュウシュウ</t>
    </rPh>
    <rPh sb="14" eb="16">
      <t>ケイソク</t>
    </rPh>
    <rPh sb="20" eb="22">
      <t>ユウセン</t>
    </rPh>
    <rPh sb="22" eb="24">
      <t>ホウシキ</t>
    </rPh>
    <phoneticPr fontId="1"/>
  </si>
  <si>
    <t>情報収集ユニット+エネルギー計測ユニット無線方式</t>
    <rPh sb="0" eb="2">
      <t>ジョウホウ</t>
    </rPh>
    <rPh sb="2" eb="4">
      <t>シュウシュウ</t>
    </rPh>
    <rPh sb="14" eb="16">
      <t>ケイソク</t>
    </rPh>
    <rPh sb="20" eb="22">
      <t>ムセン</t>
    </rPh>
    <rPh sb="22" eb="24">
      <t>ホウシキ</t>
    </rPh>
    <phoneticPr fontId="1"/>
  </si>
  <si>
    <r>
      <t xml:space="preserve">分岐計測は最大6回路まで可能ですが、本見積では2回路分で積算しています。
エネファーム・エコウィル等の外部発電機との併設は不可です。
分電盤は一般分電盤としています。
</t>
    </r>
    <r>
      <rPr>
        <sz val="11"/>
        <color rgb="FFFF0000"/>
        <rFont val="Meiryo UI"/>
        <family val="3"/>
        <charset val="128"/>
      </rPr>
      <t>補助金対象はZEHのみになります。</t>
    </r>
    <phoneticPr fontId="1"/>
  </si>
  <si>
    <t>本見積は外部発電機、蓄電池、他社製パワコンのうち1台のみの計測であり、分岐計測はできません。
計測可能な電線外径は10ｍｍ未満です。
発電電力計測用電流センサーには2.5mのケーブルが同梱されています。
別途HM-EM03-E(有線タイプ）またはHM-EM03-W(無線タイプ）追加することで分岐計測も14回路まで可能になります。
分電盤は一般分電盤としています。</t>
    <rPh sb="0" eb="1">
      <t>ホン</t>
    </rPh>
    <rPh sb="1" eb="3">
      <t>ミツモリ</t>
    </rPh>
    <rPh sb="25" eb="26">
      <t>ダイ</t>
    </rPh>
    <rPh sb="29" eb="31">
      <t>ケイソク</t>
    </rPh>
    <rPh sb="35" eb="37">
      <t>ブンキ</t>
    </rPh>
    <rPh sb="37" eb="39">
      <t>ケイソク</t>
    </rPh>
    <rPh sb="47" eb="49">
      <t>ケイソク</t>
    </rPh>
    <rPh sb="49" eb="51">
      <t>カノウ</t>
    </rPh>
    <rPh sb="52" eb="54">
      <t>デンセン</t>
    </rPh>
    <rPh sb="54" eb="56">
      <t>ガイケイ</t>
    </rPh>
    <rPh sb="61" eb="63">
      <t>ミマン</t>
    </rPh>
    <rPh sb="92" eb="94">
      <t>ドウコン</t>
    </rPh>
    <rPh sb="139" eb="141">
      <t>ツイカ</t>
    </rPh>
    <rPh sb="146" eb="148">
      <t>ブンキ</t>
    </rPh>
    <rPh sb="148" eb="150">
      <t>ケイソク</t>
    </rPh>
    <rPh sb="153" eb="155">
      <t>カイロ</t>
    </rPh>
    <rPh sb="157" eb="159">
      <t>カノウ</t>
    </rPh>
    <phoneticPr fontId="1"/>
  </si>
  <si>
    <t>HQJB-H55R-A1＋HQJB-HNA-A1+AiSEG2
KP55S3-HY-3A+KP-MU2B-SET</t>
    <phoneticPr fontId="1"/>
  </si>
  <si>
    <t>HQJB-H55R-A1＋HQJB-HNA-A1+AiSEG2　
＊ただしPanasonic製エネファームのみ確認済み、
停電時エネファームは使用できません。</t>
    <rPh sb="46" eb="47">
      <t>セイ</t>
    </rPh>
    <rPh sb="55" eb="57">
      <t>カクニン</t>
    </rPh>
    <rPh sb="57" eb="58">
      <t>ズ</t>
    </rPh>
    <rPh sb="61" eb="63">
      <t>テイデン</t>
    </rPh>
    <rPh sb="63" eb="64">
      <t>ジ</t>
    </rPh>
    <rPh sb="71" eb="73">
      <t>シヨウ</t>
    </rPh>
    <phoneticPr fontId="1"/>
  </si>
  <si>
    <t>ハイブリッドパワコンHQJBH55RA1</t>
    <phoneticPr fontId="1"/>
  </si>
  <si>
    <t>HQJB-H55R-A1＋HQJP-MSET-A2+HY
HQJB-H55R-A1＋HQJB-HNA-A1+AiSEG2
KP55S3-HY-3A+KP-MU2B-SET</t>
    <phoneticPr fontId="1"/>
  </si>
  <si>
    <t>HQJB＋HQJP-MSET-A2:ZEH
HQJB+AiSEG2:ZEH/ZEH+
KP：ZEH</t>
    <phoneticPr fontId="1"/>
  </si>
  <si>
    <t>HQJB-H55R-A1＋HQJP-MSET-A2-HY
HQJB-H55R-A1＋HQJB-HNA-A1+AiSEG2
KP55S3-HY-3A+KP-MU2B-SET</t>
    <phoneticPr fontId="1"/>
  </si>
  <si>
    <t>HQJB-H55R-A1＋HQJP-MSET-A2-HY
＊ただしPanasonic製エネファームのみ確認済み、
停電時エネファームは使用できません。</t>
    <rPh sb="42" eb="43">
      <t>セイ</t>
    </rPh>
    <rPh sb="51" eb="53">
      <t>カクニン</t>
    </rPh>
    <rPh sb="53" eb="54">
      <t>ズ</t>
    </rPh>
    <rPh sb="57" eb="59">
      <t>テイデン</t>
    </rPh>
    <rPh sb="59" eb="60">
      <t>ジ</t>
    </rPh>
    <rPh sb="67" eb="69">
      <t>シヨウ</t>
    </rPh>
    <phoneticPr fontId="1"/>
  </si>
  <si>
    <t>HQJB＋HQJP-MSET-A2-HY:ZEH
HQJB+AiSEG2:ZEH/ZEH+
KP：ZEH</t>
    <phoneticPr fontId="1"/>
  </si>
  <si>
    <t>HQJP-MOTS-A2+HQJP-RM-A1</t>
    <phoneticPr fontId="1"/>
  </si>
  <si>
    <t>HQJPMOTSA2HQJPRMA1</t>
    <phoneticPr fontId="1"/>
  </si>
  <si>
    <t>HQJP-MOTS-A2</t>
    <phoneticPr fontId="1"/>
  </si>
  <si>
    <t>HQJP-MOTS-A2+HQJP-RM-A1</t>
    <phoneticPr fontId="1"/>
  </si>
  <si>
    <t>カラーモニタセット</t>
    <phoneticPr fontId="1"/>
  </si>
  <si>
    <t>☜オムロンの表示モニタ選択（HYB以外でモニタが不要な場合）</t>
    <rPh sb="6" eb="8">
      <t>ヒョウジ</t>
    </rPh>
    <rPh sb="11" eb="13">
      <t>センタク</t>
    </rPh>
    <phoneticPr fontId="1"/>
  </si>
  <si>
    <t>☜オムロンの表示モニタ選択（HYBまたはHYB以外）</t>
    <rPh sb="6" eb="8">
      <t>ヒョウジ</t>
    </rPh>
    <rPh sb="11" eb="13">
      <t>センタク</t>
    </rPh>
    <phoneticPr fontId="1"/>
  </si>
  <si>
    <t>KP-MU1P-M-SET-HQ</t>
    <phoneticPr fontId="1"/>
  </si>
  <si>
    <t>KPシリーズ
(ハイブリッドパワコン以外）</t>
    <rPh sb="18" eb="20">
      <t>イガイ</t>
    </rPh>
    <phoneticPr fontId="1"/>
  </si>
  <si>
    <t>KP ハイブリッドパワコン</t>
    <phoneticPr fontId="1"/>
  </si>
  <si>
    <t>モニタリングユニット2B(ハイブリッド専用)</t>
  </si>
  <si>
    <t>モニタリングユニット2B(ハイブリッド専用)</t>
    <phoneticPr fontId="1"/>
  </si>
  <si>
    <t>注3　上記拾い出し表は、Q.CASTで既に選択されたモニタを表示しています。
　　　 不要な場合はQ.CASTの見積編集画面の数量(変更)に 0 を入力して下さい。</t>
    <rPh sb="0" eb="1">
      <t>チュウ</t>
    </rPh>
    <rPh sb="3" eb="5">
      <t>ジョウキ</t>
    </rPh>
    <rPh sb="5" eb="6">
      <t>ヒロ</t>
    </rPh>
    <rPh sb="7" eb="8">
      <t>ダ</t>
    </rPh>
    <rPh sb="9" eb="10">
      <t>ヒョウ</t>
    </rPh>
    <rPh sb="19" eb="20">
      <t>スデ</t>
    </rPh>
    <rPh sb="21" eb="23">
      <t>センタク</t>
    </rPh>
    <rPh sb="30" eb="32">
      <t>ヒョウジ</t>
    </rPh>
    <rPh sb="43" eb="45">
      <t>フヨウ</t>
    </rPh>
    <rPh sb="46" eb="48">
      <t>バアイ</t>
    </rPh>
    <rPh sb="56" eb="58">
      <t>ミツ</t>
    </rPh>
    <rPh sb="58" eb="60">
      <t>ヘンシュウ</t>
    </rPh>
    <rPh sb="60" eb="62">
      <t>ガメン</t>
    </rPh>
    <rPh sb="63" eb="65">
      <t>スウリョウ</t>
    </rPh>
    <rPh sb="66" eb="68">
      <t>ヘンコウ</t>
    </rPh>
    <rPh sb="74" eb="76">
      <t>ニュウリョク</t>
    </rPh>
    <rPh sb="78" eb="79">
      <t>クダ</t>
    </rPh>
    <phoneticPr fontId="1"/>
  </si>
  <si>
    <t>・KP55S3+KP-MU1B-SETの場合はエネファーム等の外部発電の併設不可なので、住宅の設備にエネファーム等の外部発電が設置されている場合は補助金対象にはなりません。</t>
    <rPh sb="20" eb="22">
      <t>バアイ</t>
    </rPh>
    <rPh sb="29" eb="30">
      <t>トウ</t>
    </rPh>
    <rPh sb="31" eb="33">
      <t>ガイブ</t>
    </rPh>
    <rPh sb="33" eb="35">
      <t>ハツデン</t>
    </rPh>
    <rPh sb="36" eb="38">
      <t>ヘイセツ</t>
    </rPh>
    <rPh sb="38" eb="40">
      <t>フカ</t>
    </rPh>
    <rPh sb="44" eb="46">
      <t>ジュウタク</t>
    </rPh>
    <rPh sb="47" eb="49">
      <t>セツビ</t>
    </rPh>
    <rPh sb="56" eb="57">
      <t>トウ</t>
    </rPh>
    <rPh sb="58" eb="60">
      <t>ガイブ</t>
    </rPh>
    <rPh sb="60" eb="62">
      <t>ハツデン</t>
    </rPh>
    <rPh sb="63" eb="65">
      <t>セッチ</t>
    </rPh>
    <rPh sb="70" eb="72">
      <t>バアイ</t>
    </rPh>
    <rPh sb="73" eb="76">
      <t>ホジョキン</t>
    </rPh>
    <rPh sb="76" eb="78">
      <t>タイショウ</t>
    </rPh>
    <phoneticPr fontId="1"/>
  </si>
  <si>
    <t>分岐計測は2回路までです。計測可能な電線外径は6ｍｍ未満です。
本見積は分岐計測が2回路の見積です。
別途HM-EM03-E(有線タイプ)またはHM-EM03-W(無線タイプ)追加することで分岐計測も14回路まで可能になります。
個別電力計測用電流センサーには2.5mのケーブルが同梱されています。
分電盤は一般分電盤としています。</t>
    <rPh sb="0" eb="2">
      <t>ブンキ</t>
    </rPh>
    <rPh sb="2" eb="4">
      <t>ケイソク</t>
    </rPh>
    <rPh sb="6" eb="8">
      <t>カイロ</t>
    </rPh>
    <rPh sb="140" eb="142">
      <t>ドウコン</t>
    </rPh>
    <phoneticPr fontId="1"/>
  </si>
  <si>
    <t>外部発電機(太陽光発電)は1台計測可能です。計測電流は100Aまでです。電線外径は24mm未満です。
分岐計測は最大6回路まで可能ですが、本見積では2回路分で積算しています。
別途HM-EM03-E(有線タイプ)またはHM-EM03-W(無線タイプ)追加することで分岐計測も14回路まで可能になります。
エネファーム・エコウィル等の外部発電機、V2Hとの併設は不可です。
分電盤は一般分電盤としています。</t>
    <rPh sb="0" eb="2">
      <t>ガイブ</t>
    </rPh>
    <rPh sb="2" eb="4">
      <t>ハツデン</t>
    </rPh>
    <rPh sb="4" eb="5">
      <t>キ</t>
    </rPh>
    <rPh sb="6" eb="9">
      <t>タイヨウコウ</t>
    </rPh>
    <rPh sb="9" eb="11">
      <t>ハツデン</t>
    </rPh>
    <rPh sb="14" eb="15">
      <t>ダイ</t>
    </rPh>
    <rPh sb="15" eb="17">
      <t>ケイソク</t>
    </rPh>
    <rPh sb="17" eb="19">
      <t>カノウ</t>
    </rPh>
    <rPh sb="22" eb="24">
      <t>ケイソク</t>
    </rPh>
    <rPh sb="24" eb="26">
      <t>デンリュウ</t>
    </rPh>
    <rPh sb="36" eb="38">
      <t>デンセン</t>
    </rPh>
    <rPh sb="38" eb="40">
      <t>ガイケイ</t>
    </rPh>
    <rPh sb="45" eb="47">
      <t>ミマン</t>
    </rPh>
    <rPh sb="53" eb="55">
      <t>ケイソク</t>
    </rPh>
    <rPh sb="56" eb="58">
      <t>サイダイ</t>
    </rPh>
    <rPh sb="59" eb="61">
      <t>カイロ</t>
    </rPh>
    <rPh sb="63" eb="65">
      <t>カノウ</t>
    </rPh>
    <rPh sb="69" eb="70">
      <t>ホン</t>
    </rPh>
    <rPh sb="70" eb="72">
      <t>ミツモリ</t>
    </rPh>
    <rPh sb="77" eb="78">
      <t>ブン</t>
    </rPh>
    <rPh sb="164" eb="165">
      <t>トウ</t>
    </rPh>
    <rPh sb="166" eb="168">
      <t>ガイブ</t>
    </rPh>
    <rPh sb="168" eb="171">
      <t>ハツデンキ</t>
    </rPh>
    <rPh sb="177" eb="179">
      <t>ヘイセツ</t>
    </rPh>
    <rPh sb="180" eb="182">
      <t>フカ</t>
    </rPh>
    <phoneticPr fontId="1"/>
  </si>
  <si>
    <t>分岐計測は最大6回路まで可能ですが、本見積では2回路分で積算しています。
別途HM-EM03-E(有線タイプ)またはHM-EM03-W(無線タイプ)追加することで分岐計測も14回路まで可能になります。
エネファーム・エコウィル等の外部発電機、V2Hとの併設は不可です。
分電盤は一般分電盤としています。</t>
    <rPh sb="113" eb="114">
      <t>トウ</t>
    </rPh>
    <rPh sb="115" eb="117">
      <t>ガイブ</t>
    </rPh>
    <rPh sb="117" eb="120">
      <t>ハツデンキ</t>
    </rPh>
    <rPh sb="126" eb="128">
      <t>ヘイセツ</t>
    </rPh>
    <rPh sb="129" eb="131">
      <t>フカ</t>
    </rPh>
    <phoneticPr fontId="1"/>
  </si>
  <si>
    <t>オプション⑤</t>
    <phoneticPr fontId="1"/>
  </si>
  <si>
    <t>オプション⑥</t>
    <phoneticPr fontId="1"/>
  </si>
  <si>
    <r>
      <t>注5　⑥～⑪は⑤で一般的な分電盤を選択した場合のオプション選択です。エネルギー計測ユニット
　　　　/情報収集ユニットの有無によって</t>
    </r>
    <r>
      <rPr>
        <sz val="11"/>
        <color rgb="FFFF0000"/>
        <rFont val="Meiryo UI"/>
        <family val="3"/>
        <charset val="128"/>
      </rPr>
      <t>CTセンサの種類が異なります</t>
    </r>
    <r>
      <rPr>
        <sz val="11"/>
        <color theme="1"/>
        <rFont val="Meiryo UI"/>
        <family val="3"/>
        <charset val="128"/>
      </rPr>
      <t>。また分岐回路の数に応じて
　　　　部材を選択して下さい。配線構成等について弊社のマニュアル、三菱HEMS及びパナソニック
　　　　のスマートHEMSの技術マニュアルをご確認下さい。</t>
    </r>
    <rPh sb="0" eb="1">
      <t>チュウ</t>
    </rPh>
    <rPh sb="9" eb="11">
      <t>イッパン</t>
    </rPh>
    <rPh sb="11" eb="12">
      <t>テキ</t>
    </rPh>
    <rPh sb="13" eb="16">
      <t>ブンデンバン</t>
    </rPh>
    <rPh sb="17" eb="19">
      <t>センタク</t>
    </rPh>
    <rPh sb="21" eb="23">
      <t>バアイ</t>
    </rPh>
    <rPh sb="29" eb="31">
      <t>センタク</t>
    </rPh>
    <rPh sb="39" eb="41">
      <t>ケイソク</t>
    </rPh>
    <rPh sb="51" eb="53">
      <t>ジョウホウ</t>
    </rPh>
    <rPh sb="53" eb="55">
      <t>シュウシュウ</t>
    </rPh>
    <rPh sb="60" eb="62">
      <t>ウム</t>
    </rPh>
    <rPh sb="72" eb="74">
      <t>シュルイ</t>
    </rPh>
    <rPh sb="75" eb="76">
      <t>コト</t>
    </rPh>
    <rPh sb="83" eb="85">
      <t>ブンキ</t>
    </rPh>
    <rPh sb="85" eb="87">
      <t>カイロ</t>
    </rPh>
    <rPh sb="88" eb="89">
      <t>カズ</t>
    </rPh>
    <rPh sb="90" eb="91">
      <t>オウ</t>
    </rPh>
    <rPh sb="101" eb="103">
      <t>センタク</t>
    </rPh>
    <rPh sb="105" eb="106">
      <t>クダ</t>
    </rPh>
    <rPh sb="109" eb="111">
      <t>ハイセン</t>
    </rPh>
    <rPh sb="111" eb="113">
      <t>コウセイ</t>
    </rPh>
    <rPh sb="113" eb="114">
      <t>トウ</t>
    </rPh>
    <rPh sb="118" eb="120">
      <t>ヘイシャ</t>
    </rPh>
    <rPh sb="127" eb="129">
      <t>ミツビシ</t>
    </rPh>
    <rPh sb="133" eb="134">
      <t>オヨ</t>
    </rPh>
    <rPh sb="156" eb="158">
      <t>ギジュツ</t>
    </rPh>
    <rPh sb="165" eb="168">
      <t>カクニンクダ</t>
    </rPh>
    <phoneticPr fontId="1"/>
  </si>
  <si>
    <r>
      <rPr>
        <sz val="14"/>
        <color theme="1"/>
        <rFont val="Meiryo UI"/>
        <family val="3"/>
        <charset val="128"/>
      </rPr>
      <t>　　　　　　　　　     概要</t>
    </r>
    <r>
      <rPr>
        <sz val="12"/>
        <color theme="1"/>
        <rFont val="Meiryo UI"/>
        <family val="3"/>
        <charset val="128"/>
      </rPr>
      <t xml:space="preserve">
このシートは、Q.CASTで自動積算されないZEH、ZEH+補助金対応システムの拾出しを行うソフト
です。作成手順は以下となります。
</t>
    </r>
    <r>
      <rPr>
        <sz val="11"/>
        <color theme="1"/>
        <rFont val="Meiryo UI"/>
        <family val="3"/>
        <charset val="128"/>
      </rPr>
      <t xml:space="preserve">
　　　　　　　　　      </t>
    </r>
    <r>
      <rPr>
        <sz val="14"/>
        <color theme="1"/>
        <rFont val="Meiryo UI"/>
        <family val="3"/>
        <charset val="128"/>
      </rPr>
      <t>作成手順</t>
    </r>
    <r>
      <rPr>
        <sz val="11"/>
        <color theme="1"/>
        <rFont val="Meiryo UI"/>
        <family val="3"/>
        <charset val="128"/>
      </rPr>
      <t xml:space="preserve">
①　右の条件選択項目①から⑪までの黄色及び
　　 緑色のセルをクリックしてプルダウンメニューから
　　 該当する部材、条件を選択します。
②　条件選択項目でそれぞれの部材、条件を選択
    するとZEH対応部材の拾い出し表に自動で必要
    部材が表示されます。
    PCSとモニタの組合せが合っていないと正しく拾い
    出しができませんので必ずご確認下さい。
③　条件選択項目の⑥～⑪はオプションです。
　　 必要に応じて種類と数量を選択して下さい。
　　 </t>
    </r>
    <r>
      <rPr>
        <b/>
        <sz val="11"/>
        <color rgb="FFFF0000"/>
        <rFont val="Meiryo UI"/>
        <family val="3"/>
        <charset val="128"/>
      </rPr>
      <t>①～⑤の条件によってCTセンサ選択の種類
    が異なりますので、①～⑤を変更した際には
    必ず⑥から⑪の種類の欄を確認して、必要
    な種類に変更して下さい。</t>
    </r>
    <r>
      <rPr>
        <sz val="11"/>
        <color theme="1"/>
        <rFont val="Meiryo UI"/>
        <family val="3"/>
        <charset val="128"/>
      </rPr>
      <t xml:space="preserve">
④　Q.CASTの見積編集画面のオプション追加から
     ZEH対応部の材拾い出し表にある部材を選択
     して見積もりに追加して下さい。
⑤　ZEH対応部材の拾い出し表にはQ.CASTで
    既に選択されたモニタやケーブル類を表示して
    います。不要な場合はQ.CASTの見積編集
    画面の数量(変更)に 0 を入力して下さい。
⑥　オプション選択について、種類選択にある種類
     を複数選択は出来ないので、Q.CASTで追加
　　  してください。</t>
    </r>
    <rPh sb="14" eb="16">
      <t>ガイヨウ</t>
    </rPh>
    <rPh sb="31" eb="33">
      <t>ジドウ</t>
    </rPh>
    <rPh sb="33" eb="35">
      <t>セキサン</t>
    </rPh>
    <rPh sb="57" eb="58">
      <t>ヒロ</t>
    </rPh>
    <rPh sb="58" eb="59">
      <t>ダ</t>
    </rPh>
    <rPh sb="61" eb="62">
      <t>オコナ</t>
    </rPh>
    <rPh sb="70" eb="72">
      <t>サクセイ</t>
    </rPh>
    <rPh sb="72" eb="74">
      <t>テジュン</t>
    </rPh>
    <rPh sb="75" eb="77">
      <t>イカ</t>
    </rPh>
    <rPh sb="100" eb="102">
      <t>サクセイ</t>
    </rPh>
    <rPh sb="102" eb="104">
      <t>テジュン</t>
    </rPh>
    <rPh sb="107" eb="108">
      <t>ミギ</t>
    </rPh>
    <rPh sb="109" eb="111">
      <t>ジョウケン</t>
    </rPh>
    <rPh sb="111" eb="113">
      <t>センタク</t>
    </rPh>
    <rPh sb="113" eb="115">
      <t>コウモク</t>
    </rPh>
    <rPh sb="122" eb="124">
      <t>キイロ</t>
    </rPh>
    <rPh sb="124" eb="125">
      <t>オヨ</t>
    </rPh>
    <rPh sb="130" eb="131">
      <t>ミドリ</t>
    </rPh>
    <rPh sb="131" eb="132">
      <t>イロ</t>
    </rPh>
    <rPh sb="157" eb="159">
      <t>ガイトウ</t>
    </rPh>
    <rPh sb="161" eb="163">
      <t>ブザイ</t>
    </rPh>
    <rPh sb="164" eb="166">
      <t>ジョウケン</t>
    </rPh>
    <rPh sb="167" eb="169">
      <t>センタク</t>
    </rPh>
    <rPh sb="177" eb="179">
      <t>ジョウケン</t>
    </rPh>
    <rPh sb="179" eb="181">
      <t>センタク</t>
    </rPh>
    <rPh sb="181" eb="183">
      <t>コウモク</t>
    </rPh>
    <rPh sb="189" eb="191">
      <t>ブザイ</t>
    </rPh>
    <rPh sb="192" eb="194">
      <t>ジョウケン</t>
    </rPh>
    <rPh sb="195" eb="197">
      <t>センタク</t>
    </rPh>
    <rPh sb="208" eb="210">
      <t>タイオウ</t>
    </rPh>
    <rPh sb="210" eb="212">
      <t>ブザイ</t>
    </rPh>
    <rPh sb="213" eb="214">
      <t>ヒロ</t>
    </rPh>
    <rPh sb="215" eb="216">
      <t>ダ</t>
    </rPh>
    <rPh sb="217" eb="218">
      <t>ヒョウ</t>
    </rPh>
    <rPh sb="219" eb="221">
      <t>ジドウ</t>
    </rPh>
    <rPh sb="222" eb="224">
      <t>ヒツヨウ</t>
    </rPh>
    <rPh sb="229" eb="231">
      <t>ブザイ</t>
    </rPh>
    <rPh sb="232" eb="234">
      <t>ヒョウジ</t>
    </rPh>
    <rPh sb="252" eb="254">
      <t>クミアワ</t>
    </rPh>
    <rPh sb="256" eb="257">
      <t>ア</t>
    </rPh>
    <rPh sb="263" eb="264">
      <t>タダ</t>
    </rPh>
    <rPh sb="266" eb="267">
      <t>ヒロ</t>
    </rPh>
    <rPh sb="273" eb="274">
      <t>ダ</t>
    </rPh>
    <rPh sb="283" eb="284">
      <t>カナラ</t>
    </rPh>
    <rPh sb="286" eb="288">
      <t>カクニン</t>
    </rPh>
    <rPh sb="288" eb="289">
      <t>クダ</t>
    </rPh>
    <rPh sb="296" eb="298">
      <t>ジョウケン</t>
    </rPh>
    <rPh sb="298" eb="300">
      <t>センタク</t>
    </rPh>
    <rPh sb="300" eb="302">
      <t>コウモク</t>
    </rPh>
    <rPh sb="319" eb="321">
      <t>ヒツヨウ</t>
    </rPh>
    <rPh sb="322" eb="323">
      <t>オウ</t>
    </rPh>
    <rPh sb="325" eb="327">
      <t>シュルイ</t>
    </rPh>
    <rPh sb="328" eb="330">
      <t>スウリョウ</t>
    </rPh>
    <rPh sb="331" eb="333">
      <t>センタク</t>
    </rPh>
    <rPh sb="335" eb="336">
      <t>クダ</t>
    </rPh>
    <rPh sb="347" eb="349">
      <t>ジョウケン</t>
    </rPh>
    <rPh sb="358" eb="360">
      <t>センタク</t>
    </rPh>
    <rPh sb="361" eb="363">
      <t>シュルイ</t>
    </rPh>
    <rPh sb="369" eb="370">
      <t>コト</t>
    </rPh>
    <rPh sb="381" eb="383">
      <t>ヘンコウ</t>
    </rPh>
    <rPh sb="385" eb="386">
      <t>サイ</t>
    </rPh>
    <rPh sb="393" eb="394">
      <t>カナラ</t>
    </rPh>
    <rPh sb="400" eb="402">
      <t>シュルイ</t>
    </rPh>
    <rPh sb="403" eb="404">
      <t>ラン</t>
    </rPh>
    <rPh sb="405" eb="407">
      <t>カクニン</t>
    </rPh>
    <rPh sb="410" eb="412">
      <t>ヒツヨウ</t>
    </rPh>
    <rPh sb="418" eb="420">
      <t>シュルイ</t>
    </rPh>
    <rPh sb="421" eb="423">
      <t>ヘンコウ</t>
    </rPh>
    <rPh sb="425" eb="426">
      <t>クダ</t>
    </rPh>
    <rPh sb="440" eb="442">
      <t>ミツ</t>
    </rPh>
    <rPh sb="442" eb="444">
      <t>ヘンシュウ</t>
    </rPh>
    <rPh sb="444" eb="446">
      <t>ガメン</t>
    </rPh>
    <rPh sb="452" eb="454">
      <t>ツイカ</t>
    </rPh>
    <rPh sb="465" eb="467">
      <t>タイオウ</t>
    </rPh>
    <rPh sb="470" eb="471">
      <t>ヒロ</t>
    </rPh>
    <rPh sb="472" eb="473">
      <t>ダ</t>
    </rPh>
    <rPh sb="474" eb="475">
      <t>ヒョウ</t>
    </rPh>
    <rPh sb="478" eb="480">
      <t>ブザイ</t>
    </rPh>
    <rPh sb="481" eb="483">
      <t>センタク</t>
    </rPh>
    <rPh sb="491" eb="493">
      <t>ミツ</t>
    </rPh>
    <rPh sb="496" eb="498">
      <t>ツイカ</t>
    </rPh>
    <rPh sb="500" eb="501">
      <t>クダ</t>
    </rPh>
    <rPh sb="511" eb="513">
      <t>タイオウ</t>
    </rPh>
    <rPh sb="618" eb="620">
      <t>センタク</t>
    </rPh>
    <rPh sb="625" eb="627">
      <t>シュルイ</t>
    </rPh>
    <rPh sb="627" eb="629">
      <t>センタク</t>
    </rPh>
    <rPh sb="632" eb="634">
      <t>シュルイ</t>
    </rPh>
    <rPh sb="641" eb="643">
      <t>フクスウ</t>
    </rPh>
    <rPh sb="643" eb="645">
      <t>センタク</t>
    </rPh>
    <rPh sb="646" eb="648">
      <t>デキ</t>
    </rPh>
    <rPh sb="660" eb="662">
      <t>ツイカ</t>
    </rPh>
    <phoneticPr fontId="1"/>
  </si>
  <si>
    <t>履歴</t>
    <rPh sb="0" eb="2">
      <t>リレキ</t>
    </rPh>
    <phoneticPr fontId="1"/>
  </si>
  <si>
    <t>Ver1.0</t>
    <phoneticPr fontId="1"/>
  </si>
  <si>
    <t>Ver1.1</t>
  </si>
  <si>
    <t>Ver1.2</t>
  </si>
  <si>
    <t>日時</t>
    <rPh sb="0" eb="2">
      <t>ニチジ</t>
    </rPh>
    <phoneticPr fontId="1"/>
  </si>
  <si>
    <t>AiSEG2　拾い出し選定表</t>
    <rPh sb="7" eb="8">
      <t>ヒロ</t>
    </rPh>
    <rPh sb="9" eb="10">
      <t>ダ</t>
    </rPh>
    <rPh sb="11" eb="13">
      <t>センテイ</t>
    </rPh>
    <rPh sb="13" eb="14">
      <t>ヒョウ</t>
    </rPh>
    <phoneticPr fontId="1"/>
  </si>
  <si>
    <t>AiSEG2モニタあり</t>
  </si>
  <si>
    <t>AiSEG2(7型モニター機能付)</t>
    <rPh sb="8" eb="9">
      <t>ガタ</t>
    </rPh>
    <rPh sb="13" eb="15">
      <t>キノウ</t>
    </rPh>
    <rPh sb="15" eb="16">
      <t>ツキ</t>
    </rPh>
    <phoneticPr fontId="1"/>
  </si>
  <si>
    <t>AiSEG2モニタなし</t>
  </si>
  <si>
    <t>AiSEG2(モニター機能無し)</t>
    <rPh sb="11" eb="13">
      <t>キノウ</t>
    </rPh>
    <rPh sb="13" eb="14">
      <t>ナシ</t>
    </rPh>
    <phoneticPr fontId="1"/>
  </si>
  <si>
    <t>AiSEG2種類</t>
    <rPh sb="6" eb="8">
      <t>シュルイ</t>
    </rPh>
    <phoneticPr fontId="1"/>
  </si>
  <si>
    <t>ZEH</t>
  </si>
  <si>
    <t>HQJP-MUKA-3</t>
    <phoneticPr fontId="1"/>
  </si>
  <si>
    <t>HQJP-MC-3</t>
    <phoneticPr fontId="1"/>
  </si>
  <si>
    <t>電力検出ユニット</t>
    <rPh sb="0" eb="2">
      <t>デンリョク</t>
    </rPh>
    <rPh sb="2" eb="4">
      <t>ケンシュツ</t>
    </rPh>
    <phoneticPr fontId="1"/>
  </si>
  <si>
    <t>HQJP-RM-3</t>
    <phoneticPr fontId="1"/>
  </si>
  <si>
    <t>一括制御リモコン</t>
    <rPh sb="0" eb="2">
      <t>イッカツ</t>
    </rPh>
    <rPh sb="2" eb="4">
      <t>セイギョ</t>
    </rPh>
    <phoneticPr fontId="1"/>
  </si>
  <si>
    <t>HQJP-MA55-3</t>
    <phoneticPr fontId="1"/>
  </si>
  <si>
    <t>HQJPMUKA3HQJPMC3</t>
    <phoneticPr fontId="1"/>
  </si>
  <si>
    <t>HQJPMUKA3HQJPRM3</t>
    <phoneticPr fontId="1"/>
  </si>
  <si>
    <t>HQJPMUKA3HQJPMC3HQJPRM3</t>
    <phoneticPr fontId="1"/>
  </si>
  <si>
    <t>HQJP-MUKA-3</t>
    <phoneticPr fontId="1"/>
  </si>
  <si>
    <t>HQJP-MC-3</t>
    <phoneticPr fontId="1"/>
  </si>
  <si>
    <t>HQJP-RM-3</t>
    <phoneticPr fontId="1"/>
  </si>
  <si>
    <t>一括制御リモコン</t>
    <rPh sb="0" eb="2">
      <t>イッカツ</t>
    </rPh>
    <rPh sb="2" eb="4">
      <t>セイギョ</t>
    </rPh>
    <phoneticPr fontId="1"/>
  </si>
  <si>
    <t>カラーモニタ</t>
    <phoneticPr fontId="1"/>
  </si>
  <si>
    <t>HQJP-MA55-3</t>
    <phoneticPr fontId="1"/>
  </si>
  <si>
    <t>HQJP-MUKA-3+HQJP-RM-A1</t>
    <phoneticPr fontId="1"/>
  </si>
  <si>
    <t>HQJP-MUKA-3+HQJP-MC-3+HQJP-RM-A1</t>
    <phoneticPr fontId="1"/>
  </si>
  <si>
    <t>HQJP-MUKA-3+HQJP-RM-3</t>
    <phoneticPr fontId="1"/>
  </si>
  <si>
    <t>HQJP-MUKA-3+HQJP-MC-3+HQJP-RM-3</t>
    <phoneticPr fontId="1"/>
  </si>
  <si>
    <t>HQJP-MUKA-3+HQJP-MC-3</t>
    <phoneticPr fontId="1"/>
  </si>
  <si>
    <t>HQJP-MUKA-3+HQJP-RM-A1</t>
    <phoneticPr fontId="1"/>
  </si>
  <si>
    <t>HQJPMOTSA2HQJPRMA2</t>
  </si>
  <si>
    <t>HQJPMOTSA2HQJPRMA3</t>
  </si>
  <si>
    <t>←不要な場合見積編集画の数量(変更)に1を入力して下さい。</t>
    <rPh sb="8" eb="10">
      <t>ヘンシュウ</t>
    </rPh>
    <rPh sb="15" eb="17">
      <t>ヘンコウ</t>
    </rPh>
    <rPh sb="21" eb="23">
      <t>ニュウリョク</t>
    </rPh>
    <phoneticPr fontId="1"/>
  </si>
  <si>
    <t>←不要な場合見積編集画の数量(変更)に2を入力して下さい。</t>
    <rPh sb="8" eb="10">
      <t>ヘンシュウ</t>
    </rPh>
    <rPh sb="15" eb="17">
      <t>ヘンコウ</t>
    </rPh>
    <rPh sb="21" eb="23">
      <t>ニュウリョク</t>
    </rPh>
    <phoneticPr fontId="1"/>
  </si>
  <si>
    <r>
      <t>　　　 また、</t>
    </r>
    <r>
      <rPr>
        <sz val="11"/>
        <color rgb="FFFF0000"/>
        <rFont val="Meiryo UI"/>
        <family val="3"/>
        <charset val="128"/>
      </rPr>
      <t>HQJP-MUKA-3の場合、CT計測は1回路</t>
    </r>
    <r>
      <rPr>
        <sz val="11"/>
        <color theme="1"/>
        <rFont val="Meiryo UI"/>
        <family val="3"/>
        <charset val="128"/>
      </rPr>
      <t>のみになります。</t>
    </r>
    <rPh sb="19" eb="21">
      <t>バアイ</t>
    </rPh>
    <rPh sb="24" eb="26">
      <t>ケイソク</t>
    </rPh>
    <rPh sb="28" eb="30">
      <t>カイロ</t>
    </rPh>
    <phoneticPr fontId="1"/>
  </si>
  <si>
    <r>
      <t>注6　HQJPシリーズの場合、</t>
    </r>
    <r>
      <rPr>
        <sz val="11"/>
        <color rgb="FFFF0000"/>
        <rFont val="Meiryo UI"/>
        <family val="3"/>
        <charset val="128"/>
      </rPr>
      <t>A2シリーズはCT計測は5回路</t>
    </r>
    <r>
      <rPr>
        <sz val="11"/>
        <color theme="1"/>
        <rFont val="Meiryo UI"/>
        <family val="3"/>
        <charset val="128"/>
      </rPr>
      <t>までになります(外部発電は除く)。</t>
    </r>
    <rPh sb="0" eb="1">
      <t>チュウ</t>
    </rPh>
    <rPh sb="12" eb="14">
      <t>バアイ</t>
    </rPh>
    <rPh sb="24" eb="26">
      <t>ケイソク</t>
    </rPh>
    <rPh sb="28" eb="30">
      <t>カイロ</t>
    </rPh>
    <rPh sb="38" eb="40">
      <t>ガイブ</t>
    </rPh>
    <rPh sb="40" eb="42">
      <t>ハツデン</t>
    </rPh>
    <rPh sb="43" eb="44">
      <t>ノゾ</t>
    </rPh>
    <phoneticPr fontId="1"/>
  </si>
  <si>
    <t>HQJP-3シリーズ</t>
    <phoneticPr fontId="1"/>
  </si>
  <si>
    <t>HQJP-KA30-3</t>
    <phoneticPr fontId="1"/>
  </si>
  <si>
    <t>HQJP-KA40-3</t>
    <phoneticPr fontId="1"/>
  </si>
  <si>
    <t>HQJP-KA55-3</t>
    <phoneticPr fontId="1"/>
  </si>
  <si>
    <t>HQJP-RA44-3</t>
    <phoneticPr fontId="1"/>
  </si>
  <si>
    <t>HQJP-RA55-3</t>
    <phoneticPr fontId="1"/>
  </si>
  <si>
    <t>KPW-A55-J4</t>
    <phoneticPr fontId="1"/>
  </si>
  <si>
    <t>KPK-A40</t>
    <phoneticPr fontId="1"/>
  </si>
  <si>
    <t>KPK-A55</t>
    <phoneticPr fontId="1"/>
  </si>
  <si>
    <t>HQJP-MUKA-3+HQJP-MC-3</t>
    <phoneticPr fontId="1"/>
  </si>
  <si>
    <t>←原則不要ですので見積編集画の数量(変更)に0を入力して下さい。</t>
    <rPh sb="1" eb="3">
      <t>ゲンソク</t>
    </rPh>
    <rPh sb="3" eb="5">
      <t>フヨウ</t>
    </rPh>
    <rPh sb="11" eb="13">
      <t>ヘンシュウ</t>
    </rPh>
    <rPh sb="18" eb="20">
      <t>ヘンコウ</t>
    </rPh>
    <rPh sb="24" eb="26">
      <t>ニュウリョク</t>
    </rPh>
    <phoneticPr fontId="1"/>
  </si>
  <si>
    <t>←不要な場合は見積編集画の数量(変更)に0を入力して下さい。</t>
    <rPh sb="1" eb="3">
      <t>フヨウ</t>
    </rPh>
    <rPh sb="4" eb="6">
      <t>バアイ</t>
    </rPh>
    <rPh sb="9" eb="11">
      <t>ヘンシュウ</t>
    </rPh>
    <rPh sb="16" eb="18">
      <t>ヘンコウ</t>
    </rPh>
    <rPh sb="22" eb="24">
      <t>ニュウリョク</t>
    </rPh>
    <phoneticPr fontId="1"/>
  </si>
  <si>
    <t>EHF-S55MP3B</t>
    <phoneticPr fontId="1"/>
  </si>
  <si>
    <t>EHF-S99MP5B</t>
    <phoneticPr fontId="1"/>
  </si>
  <si>
    <t>ZDIS-27ENB01</t>
    <phoneticPr fontId="1"/>
  </si>
  <si>
    <t>2022.1.17</t>
    <phoneticPr fontId="1"/>
  </si>
  <si>
    <t>EIBS7追加</t>
    <rPh sb="5" eb="7">
      <t>ツイカ</t>
    </rPh>
    <phoneticPr fontId="1"/>
  </si>
  <si>
    <t>EIBS7</t>
    <phoneticPr fontId="1"/>
  </si>
  <si>
    <t>HQ-D-K40-1</t>
  </si>
  <si>
    <t>HQ-D-M06H-1M</t>
  </si>
  <si>
    <t>ZDIS-27ENB01</t>
  </si>
  <si>
    <t>表示モニタ</t>
    <rPh sb="0" eb="2">
      <t>ヒョウジ</t>
    </rPh>
    <phoneticPr fontId="1"/>
  </si>
  <si>
    <t>☜EIBS7の表示モニタ選択（HYB以外でモニタが不要な場合）</t>
    <rPh sb="7" eb="9">
      <t>ヒョウジ</t>
    </rPh>
    <rPh sb="12" eb="14">
      <t>センタク</t>
    </rPh>
    <phoneticPr fontId="1"/>
  </si>
  <si>
    <t>KPBP-A</t>
    <phoneticPr fontId="1"/>
  </si>
  <si>
    <t>ESS-T3</t>
    <phoneticPr fontId="1"/>
  </si>
  <si>
    <t>ESS-T1</t>
    <phoneticPr fontId="1"/>
  </si>
  <si>
    <t>HQJP-MUKA-4+HQJP-MC-4</t>
    <phoneticPr fontId="1"/>
  </si>
  <si>
    <t>HQJP-MUKA-4+HQJP-RM-3</t>
    <phoneticPr fontId="1"/>
  </si>
  <si>
    <t>HQJP-MUKA-4+HQJP-MC-4+HQJP-RM-3</t>
    <phoneticPr fontId="1"/>
  </si>
  <si>
    <t>ES-R6（同梱）</t>
    <rPh sb="6" eb="8">
      <t>ドウコン</t>
    </rPh>
    <phoneticPr fontId="1"/>
  </si>
  <si>
    <t>ESS-R5（同梱）</t>
    <rPh sb="7" eb="9">
      <t>ドウコン</t>
    </rPh>
    <phoneticPr fontId="1"/>
  </si>
  <si>
    <t>Q.READY</t>
    <phoneticPr fontId="1"/>
  </si>
  <si>
    <t>遠隔モニタリング</t>
    <rPh sb="0" eb="2">
      <t>エンカク</t>
    </rPh>
    <phoneticPr fontId="1"/>
  </si>
  <si>
    <t>HQJP-MA55-4</t>
    <phoneticPr fontId="1"/>
  </si>
  <si>
    <t>HQJP-RA44-4</t>
    <phoneticPr fontId="1"/>
  </si>
  <si>
    <t>HQJP-RA55-4</t>
    <phoneticPr fontId="1"/>
  </si>
  <si>
    <t>HQJP-MUKA-4</t>
    <phoneticPr fontId="1"/>
  </si>
  <si>
    <t>HQJP-MUKA-4</t>
    <phoneticPr fontId="1"/>
  </si>
  <si>
    <t>HQJP-MC-4</t>
    <phoneticPr fontId="1"/>
  </si>
  <si>
    <t>電力検出ユニット3</t>
    <rPh sb="0" eb="2">
      <t>デンリョク</t>
    </rPh>
    <rPh sb="2" eb="4">
      <t>ケンシュツ</t>
    </rPh>
    <phoneticPr fontId="1"/>
  </si>
  <si>
    <t>電力検出ユニット4</t>
    <rPh sb="0" eb="2">
      <t>デンリョク</t>
    </rPh>
    <rPh sb="2" eb="4">
      <t>ケンシュツ</t>
    </rPh>
    <phoneticPr fontId="1"/>
  </si>
  <si>
    <t>カラーモニタ3</t>
    <phoneticPr fontId="1"/>
  </si>
  <si>
    <t>カラーモニタ4</t>
    <phoneticPr fontId="1"/>
  </si>
  <si>
    <t>2023.10.18</t>
    <phoneticPr fontId="1"/>
  </si>
  <si>
    <t>T1,T3,Q.READY追加
HQJPの4シリーズ追加、MUKA-4追加</t>
    <rPh sb="13" eb="15">
      <t>ツイカ</t>
    </rPh>
    <rPh sb="26" eb="28">
      <t>ツイカ</t>
    </rPh>
    <rPh sb="35" eb="37">
      <t>ツイカ</t>
    </rPh>
    <phoneticPr fontId="1"/>
  </si>
  <si>
    <t>室内リモコン</t>
    <phoneticPr fontId="1"/>
  </si>
  <si>
    <t>HQJP-KA30-5</t>
    <phoneticPr fontId="1"/>
  </si>
  <si>
    <t>HQJP-KA40-5</t>
    <phoneticPr fontId="1"/>
  </si>
  <si>
    <t>HQJP-KA55-5</t>
    <phoneticPr fontId="1"/>
  </si>
  <si>
    <t>HQJP-RA44-5</t>
    <phoneticPr fontId="1"/>
  </si>
  <si>
    <t>HQJP-RA55-5</t>
    <phoneticPr fontId="1"/>
  </si>
  <si>
    <t>QREADY-RM-1</t>
    <phoneticPr fontId="1"/>
  </si>
  <si>
    <t>QREADY-RM-1</t>
    <phoneticPr fontId="1"/>
  </si>
  <si>
    <t>なし</t>
    <phoneticPr fontId="1"/>
  </si>
  <si>
    <t>←太陽光用ネットアダプタなしスマートコスモ分電盤の場合、出力制御用に必須です。</t>
    <rPh sb="21" eb="24">
      <t>ブンデンバン</t>
    </rPh>
    <rPh sb="25" eb="27">
      <t>バアイ</t>
    </rPh>
    <rPh sb="28" eb="30">
      <t>シュツリョク</t>
    </rPh>
    <rPh sb="30" eb="32">
      <t>セイギョ</t>
    </rPh>
    <rPh sb="32" eb="33">
      <t>ヨウ</t>
    </rPh>
    <rPh sb="34" eb="36">
      <t>ヒッスウ</t>
    </rPh>
    <phoneticPr fontId="1"/>
  </si>
  <si>
    <t>←測定回路増設アダプタ追加で38回路の分岐測定が可能です。</t>
    <phoneticPr fontId="1"/>
  </si>
  <si>
    <t>Q.READY</t>
  </si>
  <si>
    <t>QREADY-RM-1</t>
  </si>
  <si>
    <t>なし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</si>
</sst>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General&quot;本&quot;"/>
    <numFmt numFmtId="178" formatCode="General&quot;セ&quot;&quot;ッ&quot;&quot;ト&quot;"/>
    <numFmt numFmtId="179" formatCode="&quot;上&quot;&quot;記&quot;&quot;組&quot;&quot;合&quot;&quot;せ&quot;&quot;の&quot;&quot;分&quot;&quot;岐&quot;&quot;回&quot;&quot;路&quot;&quot;数&quot;&quot;は&quot;##&quot;回&quot;&quot;路&quot;&quot;ま&quot;&quot;で&quot;&quot;で&quot;&quot;す&quot;"/>
  </numFmts>
  <fonts count="19" x14ac:knownFonts="1">
    <font>
      <sz val="11"/>
      <color theme="1"/>
      <name val="ＭＳ Ｐゴシック"/>
      <family val="2"/>
      <charset val="128"/>
    </font>
    <font>
      <sz val="6"/>
      <name val="ＭＳ Ｐゴシック"/>
      <family val="2"/>
      <charset val="128"/>
    </font>
    <font>
      <sz val="11"/>
      <color theme="1"/>
      <name val="Meiryo UI"/>
      <family val="3"/>
      <charset val="128"/>
    </font>
    <font>
      <sz val="9"/>
      <color indexed="81"/>
      <name val="Meiryo UI"/>
      <family val="3"/>
      <charset val="128"/>
    </font>
    <font>
      <sz val="11"/>
      <name val="Meiryo UI"/>
      <family val="3"/>
      <charset val="128"/>
    </font>
    <font>
      <sz val="11"/>
      <color rgb="FFFF0000"/>
      <name val="Meiryo UI"/>
      <family val="3"/>
      <charset val="128"/>
    </font>
    <font>
      <sz val="18"/>
      <name val="Meiryo UI"/>
      <family val="3"/>
      <charset val="128"/>
    </font>
    <font>
      <b/>
      <sz val="14"/>
      <color theme="1"/>
      <name val="Meiryo UI"/>
      <family val="3"/>
      <charset val="128"/>
    </font>
    <font>
      <b/>
      <sz val="11"/>
      <color rgb="FFFF0000"/>
      <name val="Meiryo UI"/>
      <family val="3"/>
      <charset val="128"/>
    </font>
    <font>
      <sz val="12"/>
      <color theme="1"/>
      <name val="Meiryo UI"/>
      <family val="3"/>
      <charset val="128"/>
    </font>
    <font>
      <sz val="14"/>
      <color theme="1"/>
      <name val="Meiryo UI"/>
      <family val="3"/>
      <charset val="128"/>
    </font>
    <font>
      <b/>
      <sz val="10"/>
      <color rgb="FFFF0000"/>
      <name val="Meiryo UI"/>
      <family val="3"/>
      <charset val="128"/>
    </font>
    <font>
      <sz val="14"/>
      <name val="Meiryo UI"/>
      <family val="3"/>
      <charset val="128"/>
    </font>
    <font>
      <b/>
      <sz val="16"/>
      <name val="Meiryo UI"/>
      <family val="3"/>
      <charset val="128"/>
    </font>
    <font>
      <sz val="11"/>
      <name val="ＭＳ Ｐゴシック"/>
      <family val="2"/>
      <charset val="128"/>
    </font>
    <font>
      <sz val="22"/>
      <name val="Meiryo UI"/>
      <family val="3"/>
      <charset val="128"/>
    </font>
    <font>
      <sz val="8"/>
      <name val="Meiryo UI"/>
      <family val="3"/>
      <charset val="128"/>
    </font>
    <font>
      <sz val="10"/>
      <color theme="1"/>
      <name val="Meiryo UI"/>
      <family val="3"/>
      <charset val="128"/>
    </font>
    <font>
      <sz val="11"/>
      <color theme="0"/>
      <name val="Meiryo UI"/>
      <family val="3"/>
      <charset val="128"/>
    </font>
  </fonts>
  <fills count="6">
    <fill>
      <patternFill patternType="none"/>
    </fill>
    <fill>
      <patternFill patternType="gray125"/>
    </fill>
    <fill>
      <patternFill patternType="solid">
        <fgColor rgb="FFFFFF00"/>
        <bgColor indexed="64"/>
      </patternFill>
    </fill>
    <fill>
      <patternFill patternType="solid">
        <fgColor rgb="FFCCFF99"/>
        <bgColor indexed="64"/>
      </patternFill>
    </fill>
    <fill>
      <patternFill patternType="solid">
        <fgColor rgb="FFCCFFFF"/>
        <bgColor indexed="64"/>
      </patternFill>
    </fill>
    <fill>
      <patternFill patternType="solid">
        <fgColor rgb="FFFFFF99"/>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style="thin">
        <color indexed="64"/>
      </top>
      <bottom/>
      <diagonal/>
    </border>
    <border>
      <left style="medium">
        <color indexed="64"/>
      </left>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s>
  <cellStyleXfs count="1">
    <xf numFmtId="0" fontId="0" fillId="0" borderId="0">
      <alignment vertical="center"/>
    </xf>
  </cellStyleXfs>
  <cellXfs count="357">
    <xf numFmtId="0" fontId="0" fillId="0" borderId="0" xfId="0">
      <alignment vertical="center"/>
    </xf>
    <xf numFmtId="0" fontId="2" fillId="0" borderId="0" xfId="0" applyFont="1" applyProtection="1">
      <alignment vertical="center"/>
      <protection hidden="1"/>
    </xf>
    <xf numFmtId="0" fontId="2" fillId="0" borderId="0" xfId="0" applyFont="1" applyAlignment="1" applyProtection="1">
      <alignment horizontal="left" vertical="center"/>
      <protection hidden="1"/>
    </xf>
    <xf numFmtId="0" fontId="2" fillId="0" borderId="0" xfId="0" applyFont="1" applyAlignment="1">
      <alignment horizontal="center" vertical="center"/>
    </xf>
    <xf numFmtId="0" fontId="2" fillId="0" borderId="0" xfId="0" applyFont="1">
      <alignment vertical="center"/>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0" borderId="0" xfId="0" applyNumberFormat="1" applyFont="1" applyAlignment="1">
      <alignment horizontal="right" vertical="center"/>
    </xf>
    <xf numFmtId="49" fontId="2" fillId="0" borderId="0" xfId="0" applyNumberFormat="1" applyFont="1" applyAlignment="1">
      <alignment horizontal="right" vertical="center"/>
    </xf>
    <xf numFmtId="176" fontId="2" fillId="0" borderId="0" xfId="0" applyNumberFormat="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0" xfId="0" applyFont="1" applyBorder="1" applyAlignment="1">
      <alignment horizontal="left" vertical="center"/>
    </xf>
    <xf numFmtId="0" fontId="2" fillId="0" borderId="0" xfId="0" applyFont="1" applyFill="1" applyBorder="1" applyAlignment="1">
      <alignment horizontal="left" vertical="center"/>
    </xf>
    <xf numFmtId="0" fontId="2" fillId="0" borderId="0" xfId="0" applyFont="1" applyAlignment="1">
      <alignment horizontal="left" vertical="center"/>
    </xf>
    <xf numFmtId="177" fontId="2" fillId="0" borderId="0" xfId="0" applyNumberFormat="1" applyFont="1" applyAlignment="1">
      <alignment horizontal="left" vertical="center"/>
    </xf>
    <xf numFmtId="0" fontId="2" fillId="0" borderId="0" xfId="0" applyFont="1" applyAlignment="1" applyProtection="1">
      <protection hidden="1"/>
    </xf>
    <xf numFmtId="0" fontId="7" fillId="0" borderId="0" xfId="0" applyFont="1" applyAlignment="1" applyProtection="1">
      <alignment horizontal="center"/>
      <protection hidden="1"/>
    </xf>
    <xf numFmtId="0" fontId="2" fillId="0" borderId="11" xfId="0" applyFont="1" applyFill="1" applyBorder="1" applyAlignment="1" applyProtection="1">
      <alignment horizontal="center" vertical="center"/>
      <protection hidden="1"/>
    </xf>
    <xf numFmtId="0" fontId="2" fillId="0" borderId="12" xfId="0" applyFont="1" applyFill="1" applyBorder="1" applyAlignment="1" applyProtection="1">
      <alignment horizontal="center" vertical="center"/>
      <protection hidden="1"/>
    </xf>
    <xf numFmtId="0" fontId="2" fillId="0" borderId="13" xfId="0" applyFont="1" applyFill="1" applyBorder="1" applyAlignment="1" applyProtection="1">
      <alignment horizontal="center" vertical="center"/>
      <protection hidden="1"/>
    </xf>
    <xf numFmtId="0" fontId="2" fillId="0" borderId="0" xfId="0" applyFont="1" applyAlignment="1" applyProtection="1">
      <alignment vertical="center" shrinkToFit="1"/>
      <protection hidden="1"/>
    </xf>
    <xf numFmtId="0" fontId="2" fillId="0" borderId="0" xfId="0" applyFont="1" applyAlignment="1" applyProtection="1">
      <alignment vertical="center"/>
      <protection hidden="1"/>
    </xf>
    <xf numFmtId="0" fontId="8" fillId="0" borderId="0" xfId="0" applyFont="1" applyAlignment="1" applyProtection="1">
      <alignment horizontal="left" vertical="top"/>
      <protection hidden="1"/>
    </xf>
    <xf numFmtId="0" fontId="2" fillId="4" borderId="24" xfId="0" applyFont="1" applyFill="1" applyBorder="1" applyAlignment="1" applyProtection="1">
      <alignment horizontal="left" vertical="center" shrinkToFit="1"/>
      <protection hidden="1"/>
    </xf>
    <xf numFmtId="0" fontId="2" fillId="4" borderId="25" xfId="0" applyFont="1" applyFill="1" applyBorder="1" applyAlignment="1" applyProtection="1">
      <alignment horizontal="center" vertical="center"/>
      <protection hidden="1"/>
    </xf>
    <xf numFmtId="0" fontId="2" fillId="4" borderId="25" xfId="0" applyFont="1" applyFill="1" applyBorder="1" applyAlignment="1" applyProtection="1">
      <alignment horizontal="left" vertical="center"/>
      <protection hidden="1"/>
    </xf>
    <xf numFmtId="0" fontId="2" fillId="4" borderId="26" xfId="0" applyFont="1" applyFill="1" applyBorder="1" applyAlignment="1" applyProtection="1">
      <alignment horizontal="center" vertical="center"/>
      <protection hidden="1"/>
    </xf>
    <xf numFmtId="0" fontId="2" fillId="4" borderId="21" xfId="0" applyFont="1" applyFill="1" applyBorder="1" applyAlignment="1" applyProtection="1">
      <alignment horizontal="left" vertical="center" shrinkToFit="1"/>
      <protection hidden="1"/>
    </xf>
    <xf numFmtId="0" fontId="2" fillId="4" borderId="10" xfId="0" applyFont="1" applyFill="1" applyBorder="1" applyAlignment="1" applyProtection="1">
      <alignment horizontal="center" vertical="center"/>
      <protection hidden="1"/>
    </xf>
    <xf numFmtId="0" fontId="2" fillId="4" borderId="10" xfId="0" applyFont="1" applyFill="1" applyBorder="1" applyAlignment="1" applyProtection="1">
      <alignment horizontal="left" vertical="center"/>
      <protection hidden="1"/>
    </xf>
    <xf numFmtId="0" fontId="2" fillId="4" borderId="23" xfId="0" applyFont="1" applyFill="1" applyBorder="1" applyAlignment="1" applyProtection="1">
      <alignment horizontal="center" vertical="center"/>
      <protection hidden="1"/>
    </xf>
    <xf numFmtId="0" fontId="2" fillId="4" borderId="28" xfId="0" applyFont="1" applyFill="1" applyBorder="1" applyAlignment="1" applyProtection="1">
      <alignment horizontal="center" vertical="center"/>
      <protection hidden="1"/>
    </xf>
    <xf numFmtId="0" fontId="2" fillId="4" borderId="28" xfId="0" applyFont="1" applyFill="1" applyBorder="1" applyAlignment="1" applyProtection="1">
      <alignment horizontal="left" vertical="center"/>
      <protection hidden="1"/>
    </xf>
    <xf numFmtId="0" fontId="2" fillId="4" borderId="29" xfId="0" applyFont="1" applyFill="1" applyBorder="1" applyAlignment="1" applyProtection="1">
      <alignment horizontal="center" vertical="center"/>
      <protection hidden="1"/>
    </xf>
    <xf numFmtId="0" fontId="5" fillId="0" borderId="0" xfId="0" applyFont="1" applyProtection="1">
      <alignment vertical="center"/>
      <protection hidden="1"/>
    </xf>
    <xf numFmtId="0" fontId="2" fillId="0" borderId="0" xfId="0" applyFont="1" applyBorder="1" applyAlignment="1">
      <alignment horizontal="left" vertical="center" wrapText="1"/>
    </xf>
    <xf numFmtId="0" fontId="2" fillId="4" borderId="1" xfId="0" applyFont="1" applyFill="1" applyBorder="1" applyAlignment="1" applyProtection="1">
      <alignment horizontal="center" vertical="center"/>
      <protection hidden="1"/>
    </xf>
    <xf numFmtId="0" fontId="2" fillId="4" borderId="1" xfId="0" applyFont="1" applyFill="1" applyBorder="1" applyAlignment="1" applyProtection="1">
      <alignment horizontal="left" vertical="center"/>
      <protection hidden="1"/>
    </xf>
    <xf numFmtId="0" fontId="2" fillId="4" borderId="6" xfId="0" applyFont="1" applyFill="1" applyBorder="1" applyAlignment="1" applyProtection="1">
      <alignment horizontal="center" vertical="center"/>
      <protection hidden="1"/>
    </xf>
    <xf numFmtId="0" fontId="2" fillId="0" borderId="0"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6" xfId="0" applyFont="1" applyFill="1" applyBorder="1" applyAlignment="1">
      <alignment horizontal="center" vertical="center"/>
    </xf>
    <xf numFmtId="0" fontId="2" fillId="0" borderId="18" xfId="0" applyFont="1" applyBorder="1" applyAlignment="1">
      <alignment horizontal="center" vertical="center"/>
    </xf>
    <xf numFmtId="0" fontId="2" fillId="5" borderId="30" xfId="0" applyFont="1" applyFill="1" applyBorder="1" applyAlignment="1">
      <alignment horizontal="center" vertical="center"/>
    </xf>
    <xf numFmtId="0" fontId="2" fillId="5" borderId="7" xfId="0" applyFont="1" applyFill="1" applyBorder="1" applyAlignment="1">
      <alignment horizontal="center" vertical="center"/>
    </xf>
    <xf numFmtId="0" fontId="2" fillId="0" borderId="30" xfId="0" applyFont="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0" fillId="0" borderId="10" xfId="0" applyBorder="1" applyAlignment="1">
      <alignment horizontal="center" vertical="center"/>
    </xf>
    <xf numFmtId="0" fontId="0" fillId="0" borderId="9" xfId="0" applyBorder="1">
      <alignment vertical="center"/>
    </xf>
    <xf numFmtId="0" fontId="2" fillId="0" borderId="0" xfId="0" applyFont="1" applyFill="1" applyBorder="1">
      <alignment vertical="center"/>
    </xf>
    <xf numFmtId="0" fontId="2" fillId="0" borderId="0" xfId="0" quotePrefix="1" applyFont="1" applyFill="1" applyBorder="1" applyAlignment="1">
      <alignment horizontal="center" vertical="center"/>
    </xf>
    <xf numFmtId="49" fontId="2" fillId="0" borderId="0" xfId="0" quotePrefix="1" applyNumberFormat="1" applyFont="1" applyFill="1" applyBorder="1" applyAlignment="1">
      <alignment horizontal="center" vertical="center"/>
    </xf>
    <xf numFmtId="0" fontId="10" fillId="0" borderId="0" xfId="0" applyFont="1" applyBorder="1" applyAlignment="1">
      <alignmen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3"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lignment vertical="center"/>
    </xf>
    <xf numFmtId="0" fontId="2" fillId="0" borderId="1" xfId="0" applyFont="1" applyFill="1" applyBorder="1" applyAlignment="1">
      <alignment horizontal="center" vertical="center"/>
    </xf>
    <xf numFmtId="0" fontId="2" fillId="0" borderId="1" xfId="0" applyFont="1" applyBorder="1" applyAlignment="1">
      <alignment vertical="center"/>
    </xf>
    <xf numFmtId="0" fontId="2" fillId="0" borderId="1" xfId="0" applyFont="1" applyFill="1" applyBorder="1" applyAlignment="1">
      <alignment vertical="center"/>
    </xf>
    <xf numFmtId="0" fontId="2" fillId="0" borderId="0" xfId="0" applyNumberFormat="1" applyFont="1" applyAlignment="1">
      <alignment horizontal="left" vertical="center"/>
    </xf>
    <xf numFmtId="0" fontId="2" fillId="0" borderId="0" xfId="0" applyFont="1" applyBorder="1">
      <alignment vertical="center"/>
    </xf>
    <xf numFmtId="0" fontId="2" fillId="0" borderId="0" xfId="0" applyFont="1" applyBorder="1" applyAlignment="1">
      <alignment vertical="center"/>
    </xf>
    <xf numFmtId="0" fontId="2" fillId="4" borderId="40" xfId="0" applyFont="1" applyFill="1" applyBorder="1" applyAlignment="1" applyProtection="1">
      <alignment horizontal="center" vertical="center"/>
      <protection hidden="1"/>
    </xf>
    <xf numFmtId="0" fontId="2" fillId="4" borderId="37" xfId="0" applyFont="1" applyFill="1" applyBorder="1" applyAlignment="1" applyProtection="1">
      <alignment horizontal="center" vertical="center"/>
      <protection hidden="1"/>
    </xf>
    <xf numFmtId="0" fontId="2" fillId="4" borderId="10" xfId="0" applyFont="1" applyFill="1" applyBorder="1" applyAlignment="1" applyProtection="1">
      <alignment horizontal="left" vertical="center" shrinkToFit="1"/>
      <protection hidden="1"/>
    </xf>
    <xf numFmtId="0" fontId="5" fillId="0" borderId="0" xfId="0" applyFont="1" applyBorder="1" applyAlignment="1">
      <alignment horizontal="left" vertical="center"/>
    </xf>
    <xf numFmtId="0" fontId="2" fillId="0" borderId="0" xfId="0" applyFont="1" applyBorder="1" applyAlignment="1">
      <alignment horizontal="center" vertical="center"/>
    </xf>
    <xf numFmtId="0" fontId="2" fillId="3" borderId="1" xfId="0" applyFont="1" applyFill="1" applyBorder="1" applyAlignment="1" applyProtection="1">
      <alignment horizontal="center" vertical="center"/>
      <protection hidden="1"/>
    </xf>
    <xf numFmtId="0" fontId="2" fillId="3" borderId="1" xfId="0" applyNumberFormat="1" applyFont="1" applyFill="1" applyBorder="1" applyAlignment="1" applyProtection="1">
      <alignment horizontal="center" vertical="center" shrinkToFit="1"/>
      <protection hidden="1"/>
    </xf>
    <xf numFmtId="0" fontId="2" fillId="0" borderId="1" xfId="0" applyFont="1" applyBorder="1" applyAlignment="1">
      <alignment horizontal="left" vertical="center" wrapText="1"/>
    </xf>
    <xf numFmtId="0" fontId="2" fillId="0" borderId="0" xfId="0" quotePrefix="1" applyFont="1" applyAlignment="1">
      <alignment horizontal="center" vertical="center"/>
    </xf>
    <xf numFmtId="0" fontId="10" fillId="0" borderId="0" xfId="0" applyFont="1" applyBorder="1" applyAlignment="1">
      <alignment horizontal="left" vertical="center"/>
    </xf>
    <xf numFmtId="0" fontId="10" fillId="0" borderId="0" xfId="0" applyFont="1" applyAlignment="1">
      <alignment horizontal="left" vertical="center"/>
    </xf>
    <xf numFmtId="0" fontId="2" fillId="0" borderId="23" xfId="0" applyFont="1" applyBorder="1" applyAlignment="1">
      <alignment horizontal="center" vertical="center"/>
    </xf>
    <xf numFmtId="0" fontId="2" fillId="0" borderId="40"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horizontal="center" vertical="center"/>
    </xf>
    <xf numFmtId="0" fontId="4" fillId="0" borderId="0" xfId="0" applyFont="1">
      <alignment vertical="center"/>
    </xf>
    <xf numFmtId="179" fontId="8" fillId="0" borderId="0" xfId="0" applyNumberFormat="1" applyFont="1" applyFill="1" applyBorder="1" applyAlignment="1" applyProtection="1">
      <alignment vertical="center" shrinkToFit="1"/>
      <protection locked="0" hidden="1"/>
    </xf>
    <xf numFmtId="0" fontId="4"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0" xfId="0" applyFont="1" applyAlignment="1">
      <alignment horizontal="left" vertical="center" wrapText="1" shrinkToFit="1"/>
    </xf>
    <xf numFmtId="0" fontId="4" fillId="0" borderId="0" xfId="0" applyFont="1" applyAlignment="1">
      <alignment horizontal="center" vertical="center" shrinkToFit="1"/>
    </xf>
    <xf numFmtId="0" fontId="4" fillId="0" borderId="24" xfId="0" applyFont="1" applyBorder="1" applyAlignment="1">
      <alignment horizontal="center" vertical="center" textRotation="255" shrinkToFit="1"/>
    </xf>
    <xf numFmtId="0" fontId="4" fillId="0" borderId="25" xfId="0" applyFont="1" applyBorder="1" applyAlignment="1">
      <alignment horizontal="center" vertical="center" textRotation="255" shrinkToFit="1"/>
    </xf>
    <xf numFmtId="0" fontId="4" fillId="0" borderId="18" xfId="0" applyFont="1" applyBorder="1" applyAlignment="1">
      <alignment horizontal="center" vertical="center" shrinkToFit="1"/>
    </xf>
    <xf numFmtId="0" fontId="4" fillId="0" borderId="0" xfId="0" applyFont="1" applyBorder="1" applyAlignment="1">
      <alignment horizontal="left" vertical="center" wrapText="1" shrinkToFit="1"/>
    </xf>
    <xf numFmtId="0" fontId="4" fillId="0" borderId="0" xfId="0" applyFont="1" applyAlignment="1">
      <alignment vertical="center" shrinkToFit="1"/>
    </xf>
    <xf numFmtId="0" fontId="4" fillId="0" borderId="0" xfId="0" applyFont="1" applyAlignment="1">
      <alignment horizontal="center" shrinkToFit="1"/>
    </xf>
    <xf numFmtId="0" fontId="4" fillId="0" borderId="0" xfId="0" applyFont="1" applyAlignment="1">
      <alignment horizontal="left" vertical="center"/>
    </xf>
    <xf numFmtId="0" fontId="4"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vertical="center" shrinkToFit="1"/>
    </xf>
    <xf numFmtId="0" fontId="4" fillId="0" borderId="1" xfId="0" applyFont="1" applyBorder="1" applyAlignment="1">
      <alignment horizontal="center" vertical="center" shrinkToFit="1"/>
    </xf>
    <xf numFmtId="0" fontId="7" fillId="0" borderId="5" xfId="0" applyFont="1" applyBorder="1" applyAlignment="1" applyProtection="1">
      <alignment horizontal="center" wrapText="1"/>
      <protection hidden="1"/>
    </xf>
    <xf numFmtId="0" fontId="2" fillId="0" borderId="1" xfId="0" applyFont="1" applyBorder="1" applyAlignment="1">
      <alignment horizontal="center" vertical="center"/>
    </xf>
    <xf numFmtId="0" fontId="4" fillId="0" borderId="0" xfId="0" applyFont="1" applyAlignment="1" applyProtection="1">
      <alignment horizontal="center" vertical="center" shrinkToFit="1"/>
      <protection hidden="1"/>
    </xf>
    <xf numFmtId="0" fontId="4" fillId="0" borderId="24" xfId="0" applyFont="1" applyBorder="1" applyAlignment="1" applyProtection="1">
      <alignment horizontal="center" vertical="center" textRotation="255" shrinkToFit="1"/>
      <protection hidden="1"/>
    </xf>
    <xf numFmtId="0" fontId="4" fillId="0" borderId="25" xfId="0" applyFont="1" applyBorder="1" applyAlignment="1" applyProtection="1">
      <alignment horizontal="center" vertical="center" textRotation="255" shrinkToFit="1"/>
      <protection hidden="1"/>
    </xf>
    <xf numFmtId="0" fontId="4" fillId="0" borderId="1" xfId="0" applyFont="1" applyBorder="1" applyAlignment="1" applyProtection="1">
      <alignment horizontal="center" vertical="center" shrinkToFit="1"/>
      <protection hidden="1"/>
    </xf>
    <xf numFmtId="0" fontId="4" fillId="0" borderId="0" xfId="0" applyFont="1" applyAlignment="1" applyProtection="1">
      <alignment horizontal="left" vertical="center" wrapText="1" shrinkToFit="1"/>
      <protection hidden="1"/>
    </xf>
    <xf numFmtId="0" fontId="4" fillId="0" borderId="0" xfId="0" applyFont="1" applyAlignment="1" applyProtection="1">
      <alignment vertical="center" shrinkToFit="1"/>
      <protection hidden="1"/>
    </xf>
    <xf numFmtId="0" fontId="4" fillId="0" borderId="18" xfId="0" applyFont="1" applyBorder="1" applyAlignment="1" applyProtection="1">
      <alignment horizontal="center" vertical="center" shrinkToFit="1"/>
      <protection hidden="1"/>
    </xf>
    <xf numFmtId="0" fontId="4" fillId="0" borderId="0" xfId="0" applyFont="1" applyAlignment="1" applyProtection="1">
      <alignment horizontal="left" vertical="center"/>
      <protection hidden="1"/>
    </xf>
    <xf numFmtId="0" fontId="4"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0" xfId="0" applyFont="1" applyAlignment="1" applyProtection="1">
      <alignment horizontal="center" vertical="center" shrinkToFit="1"/>
      <protection hidden="1"/>
    </xf>
    <xf numFmtId="0" fontId="4" fillId="0" borderId="0" xfId="0" applyFont="1" applyProtection="1">
      <alignment vertical="center"/>
      <protection hidden="1"/>
    </xf>
    <xf numFmtId="0" fontId="4" fillId="0" borderId="10" xfId="0" applyFont="1" applyBorder="1" applyAlignment="1" applyProtection="1">
      <alignment horizontal="left" vertical="center"/>
      <protection hidden="1"/>
    </xf>
    <xf numFmtId="0" fontId="4" fillId="0" borderId="48" xfId="0" applyFont="1" applyBorder="1" applyAlignment="1" applyProtection="1">
      <alignment horizontal="left" vertical="center" wrapText="1"/>
      <protection hidden="1"/>
    </xf>
    <xf numFmtId="0" fontId="4" fillId="0" borderId="6" xfId="0" applyFont="1" applyBorder="1" applyAlignment="1" applyProtection="1">
      <alignment vertical="center" wrapText="1"/>
      <protection hidden="1"/>
    </xf>
    <xf numFmtId="0" fontId="4" fillId="0" borderId="1" xfId="0" applyFont="1" applyBorder="1" applyAlignment="1" applyProtection="1">
      <alignment horizontal="left" vertical="center"/>
      <protection hidden="1"/>
    </xf>
    <xf numFmtId="0" fontId="4" fillId="0" borderId="2" xfId="0" applyFont="1" applyBorder="1" applyAlignment="1" applyProtection="1">
      <alignment horizontal="left" vertical="center" wrapText="1"/>
      <protection hidden="1"/>
    </xf>
    <xf numFmtId="0" fontId="4" fillId="0" borderId="6" xfId="0" applyFont="1" applyBorder="1" applyProtection="1">
      <alignment vertical="center"/>
      <protection hidden="1"/>
    </xf>
    <xf numFmtId="0" fontId="4" fillId="0" borderId="2" xfId="0" applyFont="1" applyBorder="1" applyAlignment="1" applyProtection="1">
      <alignment horizontal="left" vertical="center"/>
      <protection hidden="1"/>
    </xf>
    <xf numFmtId="0" fontId="4" fillId="0" borderId="1" xfId="0" applyFont="1" applyBorder="1" applyAlignment="1" applyProtection="1">
      <alignment horizontal="center" vertical="center" wrapText="1"/>
      <protection hidden="1"/>
    </xf>
    <xf numFmtId="0" fontId="4" fillId="0" borderId="18" xfId="0" applyFont="1" applyBorder="1" applyAlignment="1" applyProtection="1">
      <alignment horizontal="center" vertical="center" wrapText="1"/>
      <protection hidden="1"/>
    </xf>
    <xf numFmtId="0" fontId="4" fillId="0" borderId="18" xfId="0" applyFont="1" applyBorder="1" applyAlignment="1" applyProtection="1">
      <alignment horizontal="center" vertical="center"/>
      <protection hidden="1"/>
    </xf>
    <xf numFmtId="0" fontId="4" fillId="0" borderId="7" xfId="0" applyFont="1" applyBorder="1" applyProtection="1">
      <alignment vertical="center"/>
      <protection hidden="1"/>
    </xf>
    <xf numFmtId="0" fontId="4" fillId="0" borderId="23" xfId="0" applyFont="1" applyBorder="1" applyAlignment="1" applyProtection="1">
      <alignment vertical="center" wrapText="1"/>
      <protection hidden="1"/>
    </xf>
    <xf numFmtId="0" fontId="4" fillId="0" borderId="0" xfId="0" applyFont="1" applyAlignment="1" applyProtection="1">
      <alignment vertical="center"/>
      <protection hidden="1"/>
    </xf>
    <xf numFmtId="0" fontId="4" fillId="0" borderId="0" xfId="0" applyFont="1" applyAlignment="1" applyProtection="1">
      <alignment vertical="center" textRotation="255"/>
      <protection hidden="1"/>
    </xf>
    <xf numFmtId="0" fontId="4" fillId="0" borderId="1" xfId="0" applyFont="1" applyBorder="1" applyAlignment="1" applyProtection="1">
      <alignment horizontal="left" vertical="center" wrapText="1"/>
      <protection hidden="1"/>
    </xf>
    <xf numFmtId="0" fontId="4" fillId="0" borderId="1" xfId="0" applyFont="1" applyBorder="1" applyAlignment="1" applyProtection="1">
      <alignment vertical="center" wrapText="1"/>
      <protection hidden="1"/>
    </xf>
    <xf numFmtId="0" fontId="12" fillId="0" borderId="24" xfId="0" applyFont="1" applyBorder="1" applyAlignment="1" applyProtection="1">
      <alignment horizontal="center" vertical="center"/>
      <protection hidden="1"/>
    </xf>
    <xf numFmtId="0" fontId="12" fillId="0" borderId="25" xfId="0" applyFont="1" applyBorder="1" applyAlignment="1" applyProtection="1">
      <alignment horizontal="center" vertical="center"/>
      <protection hidden="1"/>
    </xf>
    <xf numFmtId="0" fontId="12" fillId="0" borderId="26" xfId="0" applyFont="1" applyBorder="1" applyAlignment="1" applyProtection="1">
      <alignment horizontal="center" vertical="center"/>
      <protection hidden="1"/>
    </xf>
    <xf numFmtId="0" fontId="2" fillId="0" borderId="48" xfId="0" applyFont="1" applyBorder="1" applyAlignment="1">
      <alignment horizontal="center" vertical="center"/>
    </xf>
    <xf numFmtId="0" fontId="2" fillId="5" borderId="21" xfId="0" applyFont="1" applyFill="1" applyBorder="1" applyAlignment="1">
      <alignment horizontal="center" vertical="center"/>
    </xf>
    <xf numFmtId="0" fontId="2" fillId="5" borderId="48" xfId="0" applyFont="1" applyFill="1" applyBorder="1" applyAlignment="1">
      <alignment horizontal="center" vertical="center"/>
    </xf>
    <xf numFmtId="0" fontId="2" fillId="5" borderId="23" xfId="0" applyFont="1" applyFill="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pplyProtection="1">
      <alignment horizontal="center" vertical="center" shrinkToFit="1"/>
      <protection hidden="1"/>
    </xf>
    <xf numFmtId="0" fontId="2" fillId="4" borderId="1" xfId="0" applyFont="1" applyFill="1" applyBorder="1" applyAlignment="1" applyProtection="1">
      <alignment horizontal="left" vertical="center" shrinkToFit="1"/>
      <protection hidden="1"/>
    </xf>
    <xf numFmtId="0" fontId="2" fillId="4" borderId="25" xfId="0" applyFont="1" applyFill="1" applyBorder="1" applyAlignment="1" applyProtection="1">
      <alignment horizontal="left" vertical="center" shrinkToFit="1"/>
      <protection hidden="1"/>
    </xf>
    <xf numFmtId="0" fontId="2" fillId="4" borderId="16" xfId="0" applyFont="1" applyFill="1" applyBorder="1" applyAlignment="1" applyProtection="1">
      <alignment horizontal="left" vertical="center" shrinkToFit="1"/>
      <protection hidden="1"/>
    </xf>
    <xf numFmtId="0" fontId="2" fillId="4" borderId="17" xfId="0" applyFont="1" applyFill="1" applyBorder="1" applyAlignment="1" applyProtection="1">
      <alignment horizontal="left" vertical="center" shrinkToFit="1"/>
      <protection hidden="1"/>
    </xf>
    <xf numFmtId="0" fontId="2" fillId="4" borderId="18" xfId="0" applyFont="1" applyFill="1" applyBorder="1" applyAlignment="1" applyProtection="1">
      <alignment horizontal="center" vertical="center"/>
      <protection hidden="1"/>
    </xf>
    <xf numFmtId="0" fontId="2" fillId="4" borderId="18" xfId="0" applyFont="1" applyFill="1" applyBorder="1" applyAlignment="1" applyProtection="1">
      <alignment horizontal="left" vertical="center" shrinkToFit="1"/>
      <protection hidden="1"/>
    </xf>
    <xf numFmtId="0" fontId="2" fillId="4" borderId="7" xfId="0" applyFont="1" applyFill="1" applyBorder="1" applyAlignment="1" applyProtection="1">
      <alignment horizontal="center" vertical="center"/>
      <protection hidden="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horizontal="center" vertical="center"/>
    </xf>
    <xf numFmtId="0" fontId="2" fillId="0" borderId="18"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0" fillId="0" borderId="9" xfId="0" applyBorder="1" applyAlignment="1">
      <alignment vertical="center" wrapText="1"/>
    </xf>
    <xf numFmtId="0" fontId="2" fillId="0" borderId="1" xfId="0" applyFont="1" applyBorder="1" applyAlignment="1">
      <alignment horizontal="center" vertical="center"/>
    </xf>
    <xf numFmtId="0" fontId="18" fillId="0" borderId="0" xfId="0" applyFont="1" applyProtection="1">
      <alignment vertical="center"/>
      <protection hidden="1"/>
    </xf>
    <xf numFmtId="0" fontId="2" fillId="0" borderId="0" xfId="0" applyFont="1" applyAlignment="1" applyProtection="1">
      <alignment horizontal="right" vertical="center" wrapText="1"/>
      <protection hidden="1"/>
    </xf>
    <xf numFmtId="0" fontId="6" fillId="0" borderId="0" xfId="0" applyFont="1" applyAlignment="1" applyProtection="1">
      <alignment horizontal="center" vertical="top"/>
      <protection hidden="1"/>
    </xf>
    <xf numFmtId="0" fontId="2" fillId="3" borderId="1" xfId="0" applyFont="1" applyFill="1" applyBorder="1" applyAlignment="1" applyProtection="1">
      <alignment horizontal="center" vertical="center" shrinkToFit="1"/>
      <protection locked="0" hidden="1"/>
    </xf>
    <xf numFmtId="177" fontId="2" fillId="3" borderId="1" xfId="0" applyNumberFormat="1" applyFont="1" applyFill="1" applyBorder="1" applyAlignment="1" applyProtection="1">
      <alignment horizontal="center" vertical="center" shrinkToFit="1"/>
      <protection locked="0" hidden="1"/>
    </xf>
    <xf numFmtId="0" fontId="2" fillId="0" borderId="0" xfId="0" applyFont="1" applyAlignment="1" applyProtection="1">
      <alignment horizontal="left" vertical="center" wrapText="1"/>
      <protection hidden="1"/>
    </xf>
    <xf numFmtId="0" fontId="2" fillId="0" borderId="2" xfId="0" applyFont="1" applyBorder="1" applyAlignment="1" applyProtection="1">
      <alignment horizontal="left" vertical="center" shrinkToFit="1"/>
      <protection hidden="1"/>
    </xf>
    <xf numFmtId="0" fontId="2" fillId="0" borderId="4" xfId="0" applyFont="1" applyBorder="1" applyAlignment="1" applyProtection="1">
      <alignment horizontal="left" vertical="center" shrinkToFit="1"/>
      <protection hidden="1"/>
    </xf>
    <xf numFmtId="0" fontId="2" fillId="0" borderId="3" xfId="0" applyFont="1" applyBorder="1" applyAlignment="1" applyProtection="1">
      <alignment horizontal="left" vertical="center" shrinkToFit="1"/>
      <protection hidden="1"/>
    </xf>
    <xf numFmtId="0" fontId="2" fillId="0" borderId="1" xfId="0" applyFont="1" applyBorder="1" applyAlignment="1" applyProtection="1">
      <alignment horizontal="left" vertical="center" shrinkToFit="1"/>
      <protection hidden="1"/>
    </xf>
    <xf numFmtId="0" fontId="2" fillId="0" borderId="1" xfId="0" applyFont="1" applyBorder="1" applyAlignment="1" applyProtection="1">
      <alignment horizontal="left" vertical="center"/>
      <protection hidden="1"/>
    </xf>
    <xf numFmtId="0" fontId="7" fillId="0" borderId="5" xfId="0" applyFont="1" applyBorder="1" applyAlignment="1" applyProtection="1">
      <alignment horizontal="center" wrapText="1"/>
      <protection hidden="1"/>
    </xf>
    <xf numFmtId="0" fontId="4" fillId="0" borderId="0" xfId="0" applyFont="1" applyBorder="1" applyAlignment="1" applyProtection="1">
      <alignment horizontal="left" vertical="center" wrapText="1" shrinkToFit="1"/>
      <protection hidden="1"/>
    </xf>
    <xf numFmtId="0" fontId="4" fillId="0" borderId="5" xfId="0" applyFont="1" applyBorder="1" applyAlignment="1" applyProtection="1">
      <alignment horizontal="left" vertical="center" wrapText="1" shrinkToFit="1"/>
      <protection hidden="1"/>
    </xf>
    <xf numFmtId="0" fontId="2" fillId="2" borderId="1" xfId="0" applyFont="1" applyFill="1" applyBorder="1" applyAlignment="1" applyProtection="1">
      <alignment horizontal="center" vertical="center" shrinkToFit="1"/>
      <protection locked="0" hidden="1"/>
    </xf>
    <xf numFmtId="0" fontId="7" fillId="0" borderId="0" xfId="0" applyFont="1" applyBorder="1" applyAlignment="1" applyProtection="1">
      <alignment horizontal="center"/>
      <protection hidden="1"/>
    </xf>
    <xf numFmtId="0" fontId="2" fillId="2" borderId="2" xfId="0" applyFont="1" applyFill="1" applyBorder="1" applyAlignment="1" applyProtection="1">
      <alignment horizontal="center" vertical="center"/>
      <protection locked="0" hidden="1"/>
    </xf>
    <xf numFmtId="0" fontId="2" fillId="2" borderId="4" xfId="0" applyFont="1" applyFill="1" applyBorder="1" applyAlignment="1" applyProtection="1">
      <alignment horizontal="center" vertical="center"/>
      <protection locked="0" hidden="1"/>
    </xf>
    <xf numFmtId="0" fontId="2" fillId="2" borderId="3" xfId="0" applyFont="1" applyFill="1" applyBorder="1" applyAlignment="1" applyProtection="1">
      <alignment horizontal="center" vertical="center"/>
      <protection locked="0" hidden="1"/>
    </xf>
    <xf numFmtId="0" fontId="2" fillId="0" borderId="31" xfId="0" applyFont="1" applyBorder="1" applyAlignment="1" applyProtection="1">
      <alignment horizontal="left" vertical="center"/>
      <protection hidden="1"/>
    </xf>
    <xf numFmtId="0" fontId="2" fillId="3" borderId="2" xfId="0" applyFont="1" applyFill="1" applyBorder="1" applyAlignment="1" applyProtection="1">
      <alignment horizontal="center" vertical="center"/>
      <protection locked="0" hidden="1"/>
    </xf>
    <xf numFmtId="0" fontId="2" fillId="3" borderId="4" xfId="0" applyFont="1" applyFill="1" applyBorder="1" applyAlignment="1" applyProtection="1">
      <alignment horizontal="center" vertical="center"/>
      <protection locked="0" hidden="1"/>
    </xf>
    <xf numFmtId="0" fontId="2" fillId="3" borderId="3" xfId="0" applyFont="1" applyFill="1" applyBorder="1" applyAlignment="1" applyProtection="1">
      <alignment horizontal="center" vertical="center"/>
      <protection locked="0" hidden="1"/>
    </xf>
    <xf numFmtId="0" fontId="2" fillId="0" borderId="2" xfId="0" applyFont="1" applyBorder="1" applyAlignment="1" applyProtection="1">
      <alignment horizontal="left" vertical="center"/>
      <protection hidden="1"/>
    </xf>
    <xf numFmtId="0" fontId="2" fillId="0" borderId="4" xfId="0" applyFont="1" applyBorder="1" applyAlignment="1" applyProtection="1">
      <alignment horizontal="left" vertical="center"/>
      <protection hidden="1"/>
    </xf>
    <xf numFmtId="0" fontId="2" fillId="0" borderId="3" xfId="0" applyFont="1" applyBorder="1" applyAlignment="1" applyProtection="1">
      <alignment horizontal="left" vertical="center"/>
      <protection hidden="1"/>
    </xf>
    <xf numFmtId="0" fontId="2" fillId="0" borderId="0" xfId="0" applyFont="1" applyAlignment="1" applyProtection="1">
      <alignment horizontal="left" vertical="top" wrapText="1"/>
      <protection hidden="1"/>
    </xf>
    <xf numFmtId="0" fontId="2" fillId="0" borderId="21" xfId="0" applyFont="1" applyBorder="1" applyAlignment="1">
      <alignment horizontal="center"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0" fillId="0" borderId="10" xfId="0" applyFont="1" applyBorder="1" applyAlignment="1">
      <alignment horizontal="center" vertical="center" wrapText="1"/>
    </xf>
    <xf numFmtId="0" fontId="10" fillId="0" borderId="1" xfId="0" applyFont="1" applyBorder="1" applyAlignment="1">
      <alignment horizontal="center" vertic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8" xfId="0" applyFont="1" applyBorder="1" applyAlignment="1">
      <alignment horizontal="center" vertical="center"/>
    </xf>
    <xf numFmtId="0" fontId="10" fillId="0" borderId="28" xfId="0" applyFont="1" applyBorder="1" applyAlignment="1">
      <alignment horizontal="center" vertical="center"/>
    </xf>
    <xf numFmtId="0" fontId="10"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22" xfId="0" applyFont="1" applyBorder="1" applyAlignment="1">
      <alignment horizontal="center" vertical="center"/>
    </xf>
    <xf numFmtId="0" fontId="2" fillId="0" borderId="34" xfId="0" applyFont="1" applyBorder="1" applyAlignment="1">
      <alignment horizontal="center" vertical="center"/>
    </xf>
    <xf numFmtId="0" fontId="2" fillId="0" borderId="31" xfId="0" applyFont="1" applyBorder="1" applyAlignment="1">
      <alignment horizontal="center" vertical="center"/>
    </xf>
    <xf numFmtId="0" fontId="2" fillId="0" borderId="35" xfId="0" applyFont="1" applyBorder="1" applyAlignment="1">
      <alignment horizontal="center" vertical="center"/>
    </xf>
    <xf numFmtId="0" fontId="2" fillId="0" borderId="33" xfId="0" applyFont="1" applyBorder="1" applyAlignment="1">
      <alignment horizontal="center" vertical="center"/>
    </xf>
    <xf numFmtId="0" fontId="2" fillId="0" borderId="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23" xfId="0" applyFont="1" applyBorder="1" applyAlignment="1">
      <alignment horizontal="center" vertical="center"/>
    </xf>
    <xf numFmtId="0" fontId="2" fillId="0" borderId="19" xfId="0" applyFont="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pplyProtection="1">
      <alignment horizontal="center" vertical="center" shrinkToFit="1"/>
      <protection hidden="1"/>
    </xf>
    <xf numFmtId="0" fontId="2" fillId="0" borderId="4" xfId="0" applyFont="1" applyBorder="1" applyAlignment="1" applyProtection="1">
      <alignment horizontal="center" vertical="center" shrinkToFit="1"/>
      <protection hidden="1"/>
    </xf>
    <xf numFmtId="0" fontId="2" fillId="0" borderId="3" xfId="0" applyFont="1" applyBorder="1" applyAlignment="1" applyProtection="1">
      <alignment horizontal="center" vertical="center" shrinkToFit="1"/>
      <protection hidden="1"/>
    </xf>
    <xf numFmtId="0" fontId="11" fillId="0" borderId="32" xfId="0" applyFont="1" applyBorder="1" applyAlignment="1" applyProtection="1">
      <alignment horizontal="left" vertical="center" wrapText="1"/>
      <protection hidden="1"/>
    </xf>
    <xf numFmtId="0" fontId="11" fillId="0" borderId="0" xfId="0" applyFont="1" applyAlignment="1" applyProtection="1">
      <alignment horizontal="left" vertical="center" wrapText="1"/>
      <protection hidden="1"/>
    </xf>
    <xf numFmtId="0" fontId="17" fillId="0" borderId="32" xfId="0" applyFont="1" applyFill="1" applyBorder="1" applyAlignment="1" applyProtection="1">
      <alignment horizontal="left" vertical="center" shrinkToFit="1"/>
      <protection hidden="1"/>
    </xf>
    <xf numFmtId="0" fontId="17" fillId="0" borderId="5" xfId="0" applyFont="1" applyFill="1" applyBorder="1" applyAlignment="1" applyProtection="1">
      <alignment horizontal="left" vertical="center" shrinkToFit="1"/>
      <protection hidden="1"/>
    </xf>
    <xf numFmtId="178" fontId="2" fillId="3" borderId="2" xfId="0" applyNumberFormat="1" applyFont="1" applyFill="1" applyBorder="1" applyAlignment="1" applyProtection="1">
      <alignment horizontal="center" vertical="center" shrinkToFit="1"/>
      <protection locked="0" hidden="1"/>
    </xf>
    <xf numFmtId="178" fontId="2" fillId="3" borderId="3" xfId="0" applyNumberFormat="1" applyFont="1" applyFill="1" applyBorder="1" applyAlignment="1" applyProtection="1">
      <alignment horizontal="center" vertical="center" shrinkToFit="1"/>
      <protection locked="0" hidden="1"/>
    </xf>
    <xf numFmtId="0" fontId="2" fillId="3" borderId="2" xfId="0" applyNumberFormat="1" applyFont="1" applyFill="1" applyBorder="1" applyAlignment="1" applyProtection="1">
      <alignment horizontal="center" vertical="center" shrinkToFit="1"/>
      <protection locked="0" hidden="1"/>
    </xf>
    <xf numFmtId="0" fontId="2" fillId="3" borderId="3" xfId="0" applyNumberFormat="1" applyFont="1" applyFill="1" applyBorder="1" applyAlignment="1" applyProtection="1">
      <alignment horizontal="center" vertical="center" shrinkToFit="1"/>
      <protection locked="0" hidden="1"/>
    </xf>
    <xf numFmtId="0" fontId="11" fillId="0" borderId="32" xfId="0" applyFont="1" applyBorder="1" applyAlignment="1" applyProtection="1">
      <alignment horizontal="left" vertical="top" wrapText="1"/>
      <protection hidden="1"/>
    </xf>
    <xf numFmtId="0" fontId="11" fillId="0" borderId="0" xfId="0" applyFont="1" applyAlignment="1" applyProtection="1">
      <alignment horizontal="left" vertical="top" wrapText="1"/>
      <protection hidden="1"/>
    </xf>
    <xf numFmtId="0" fontId="2" fillId="3" borderId="2" xfId="0" applyFont="1" applyFill="1" applyBorder="1" applyAlignment="1" applyProtection="1">
      <alignment horizontal="center" vertical="center" shrinkToFit="1"/>
      <protection locked="0" hidden="1"/>
    </xf>
    <xf numFmtId="0" fontId="2" fillId="3" borderId="3" xfId="0" applyFont="1" applyFill="1" applyBorder="1" applyAlignment="1" applyProtection="1">
      <alignment horizontal="center" vertical="center" shrinkToFit="1"/>
      <protection locked="0" hidden="1"/>
    </xf>
    <xf numFmtId="178" fontId="2" fillId="0" borderId="2" xfId="0" applyNumberFormat="1" applyFont="1" applyFill="1" applyBorder="1" applyAlignment="1" applyProtection="1">
      <alignment horizontal="left" vertical="center" shrinkToFit="1"/>
      <protection hidden="1"/>
    </xf>
    <xf numFmtId="178" fontId="2" fillId="0" borderId="4" xfId="0" applyNumberFormat="1" applyFont="1" applyFill="1" applyBorder="1" applyAlignment="1" applyProtection="1">
      <alignment horizontal="left" vertical="center" shrinkToFit="1"/>
      <protection hidden="1"/>
    </xf>
    <xf numFmtId="178" fontId="2" fillId="0" borderId="3" xfId="0" applyNumberFormat="1" applyFont="1" applyFill="1" applyBorder="1" applyAlignment="1" applyProtection="1">
      <alignment horizontal="left" vertical="center" shrinkToFit="1"/>
      <protection hidden="1"/>
    </xf>
    <xf numFmtId="0" fontId="11" fillId="0" borderId="5" xfId="0" applyFont="1" applyBorder="1" applyAlignment="1" applyProtection="1">
      <alignment horizontal="left" vertical="top" wrapText="1"/>
      <protection hidden="1"/>
    </xf>
    <xf numFmtId="0" fontId="2" fillId="0" borderId="0" xfId="0" applyFont="1" applyBorder="1" applyAlignment="1" applyProtection="1">
      <alignment horizontal="left" vertical="center"/>
      <protection hidden="1"/>
    </xf>
    <xf numFmtId="0" fontId="2" fillId="0" borderId="0" xfId="0" applyFont="1" applyAlignment="1" applyProtection="1">
      <alignment vertical="top" wrapText="1"/>
      <protection hidden="1"/>
    </xf>
    <xf numFmtId="0" fontId="2" fillId="3" borderId="1" xfId="0" applyNumberFormat="1" applyFont="1" applyFill="1" applyBorder="1" applyAlignment="1" applyProtection="1">
      <alignment horizontal="center" vertical="center" shrinkToFit="1"/>
      <protection locked="0" hidden="1"/>
    </xf>
    <xf numFmtId="0" fontId="11" fillId="0" borderId="32" xfId="0" applyFont="1" applyFill="1" applyBorder="1" applyAlignment="1" applyProtection="1">
      <alignment horizontal="left" vertical="center" shrinkToFit="1"/>
      <protection hidden="1"/>
    </xf>
    <xf numFmtId="0" fontId="11" fillId="0" borderId="0" xfId="0" applyFont="1" applyFill="1" applyBorder="1" applyAlignment="1" applyProtection="1">
      <alignment horizontal="left" vertical="center" shrinkToFit="1"/>
      <protection hidden="1"/>
    </xf>
    <xf numFmtId="0" fontId="2" fillId="2" borderId="1" xfId="0" applyFont="1" applyFill="1" applyBorder="1" applyAlignment="1" applyProtection="1">
      <alignment horizontal="center" wrapText="1"/>
      <protection locked="0" hidden="1"/>
    </xf>
    <xf numFmtId="0" fontId="2" fillId="0" borderId="2" xfId="0" applyFont="1" applyBorder="1" applyAlignment="1" applyProtection="1">
      <alignment horizontal="left" wrapText="1"/>
      <protection hidden="1"/>
    </xf>
    <xf numFmtId="0" fontId="2" fillId="0" borderId="4" xfId="0" applyFont="1" applyBorder="1" applyAlignment="1" applyProtection="1">
      <alignment horizontal="left" wrapText="1"/>
      <protection hidden="1"/>
    </xf>
    <xf numFmtId="0" fontId="2" fillId="0" borderId="3" xfId="0" applyFont="1" applyBorder="1" applyAlignment="1" applyProtection="1">
      <alignment horizontal="left" wrapText="1"/>
      <protection hidden="1"/>
    </xf>
    <xf numFmtId="0" fontId="2" fillId="0" borderId="0" xfId="0" applyFont="1" applyAlignment="1" applyProtection="1">
      <alignment horizontal="left" vertical="top"/>
      <protection hidden="1"/>
    </xf>
    <xf numFmtId="0" fontId="2" fillId="0" borderId="0" xfId="0" applyFont="1" applyAlignment="1" applyProtection="1">
      <alignment horizontal="center" vertical="center" wrapText="1"/>
      <protection hidden="1"/>
    </xf>
    <xf numFmtId="0" fontId="2" fillId="0" borderId="5" xfId="0" applyFont="1" applyBorder="1" applyAlignment="1" applyProtection="1">
      <alignment horizontal="center" vertical="center" wrapText="1"/>
      <protection hidden="1"/>
    </xf>
    <xf numFmtId="179" fontId="8" fillId="0" borderId="32" xfId="0" applyNumberFormat="1" applyFont="1" applyFill="1" applyBorder="1" applyAlignment="1" applyProtection="1">
      <alignment horizontal="left" vertical="center" wrapText="1" shrinkToFit="1"/>
      <protection locked="0" hidden="1"/>
    </xf>
    <xf numFmtId="179" fontId="8" fillId="0" borderId="0" xfId="0" applyNumberFormat="1" applyFont="1" applyFill="1" applyBorder="1" applyAlignment="1" applyProtection="1">
      <alignment horizontal="left" vertical="center" wrapText="1" shrinkToFit="1"/>
      <protection locked="0" hidden="1"/>
    </xf>
    <xf numFmtId="0" fontId="2" fillId="3" borderId="4" xfId="0" applyNumberFormat="1" applyFont="1" applyFill="1" applyBorder="1" applyAlignment="1" applyProtection="1">
      <alignment horizontal="center" vertical="center" shrinkToFit="1"/>
      <protection locked="0" hidden="1"/>
    </xf>
    <xf numFmtId="0" fontId="8" fillId="0" borderId="4" xfId="0" applyFont="1" applyBorder="1" applyAlignment="1" applyProtection="1">
      <alignment horizontal="left" vertical="center" shrinkToFit="1"/>
      <protection hidden="1"/>
    </xf>
    <xf numFmtId="0" fontId="2" fillId="0" borderId="19"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8" xfId="0" applyFont="1" applyBorder="1" applyAlignment="1">
      <alignment horizontal="center" vertical="center"/>
    </xf>
    <xf numFmtId="0" fontId="2" fillId="0" borderId="39" xfId="0" applyFont="1" applyBorder="1" applyAlignment="1">
      <alignment horizontal="center" vertical="center"/>
    </xf>
    <xf numFmtId="0" fontId="2" fillId="0" borderId="1" xfId="0" applyFont="1" applyBorder="1" applyAlignment="1">
      <alignment horizontal="center" vertical="center"/>
    </xf>
    <xf numFmtId="0" fontId="2" fillId="0" borderId="18"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4" fillId="0" borderId="1" xfId="0" applyFont="1" applyBorder="1" applyAlignment="1" applyProtection="1">
      <alignment horizontal="center" vertical="center" shrinkToFit="1"/>
      <protection hidden="1"/>
    </xf>
    <xf numFmtId="0" fontId="4" fillId="0" borderId="6" xfId="0" applyFont="1" applyBorder="1" applyAlignment="1" applyProtection="1">
      <alignment horizontal="center" vertical="center" shrinkToFit="1"/>
      <protection hidden="1"/>
    </xf>
    <xf numFmtId="0" fontId="13" fillId="0" borderId="0" xfId="0" applyFont="1" applyBorder="1" applyAlignment="1" applyProtection="1">
      <alignment horizontal="center" shrinkToFit="1"/>
      <protection hidden="1"/>
    </xf>
    <xf numFmtId="0" fontId="12" fillId="0" borderId="25" xfId="0" applyFont="1" applyBorder="1" applyAlignment="1" applyProtection="1">
      <alignment horizontal="center" shrinkToFit="1"/>
      <protection hidden="1"/>
    </xf>
    <xf numFmtId="0" fontId="12" fillId="0" borderId="26" xfId="0" applyFont="1" applyBorder="1" applyAlignment="1" applyProtection="1">
      <alignment horizontal="center" shrinkToFit="1"/>
      <protection hidden="1"/>
    </xf>
    <xf numFmtId="0" fontId="4" fillId="0" borderId="16" xfId="0" applyFont="1" applyBorder="1" applyAlignment="1" applyProtection="1">
      <alignment horizontal="center" vertical="center" textRotation="255" shrinkToFit="1"/>
      <protection hidden="1"/>
    </xf>
    <xf numFmtId="0" fontId="4" fillId="0" borderId="1" xfId="0" applyFont="1" applyBorder="1" applyAlignment="1" applyProtection="1">
      <alignment horizontal="center" vertical="center" textRotation="255" shrinkToFit="1"/>
      <protection hidden="1"/>
    </xf>
    <xf numFmtId="0" fontId="4" fillId="0" borderId="1" xfId="0" applyFont="1" applyBorder="1" applyAlignment="1" applyProtection="1">
      <alignment horizontal="left" vertical="center" wrapText="1"/>
      <protection hidden="1"/>
    </xf>
    <xf numFmtId="0" fontId="4" fillId="0" borderId="6" xfId="0" applyFont="1" applyBorder="1" applyAlignment="1" applyProtection="1">
      <alignment horizontal="left" vertical="center" wrapText="1"/>
      <protection hidden="1"/>
    </xf>
    <xf numFmtId="0" fontId="12" fillId="0" borderId="1" xfId="0" applyFont="1" applyBorder="1" applyAlignment="1" applyProtection="1">
      <alignment horizontal="center" shrinkToFit="1"/>
      <protection hidden="1"/>
    </xf>
    <xf numFmtId="0" fontId="12" fillId="0" borderId="6" xfId="0" applyFont="1" applyBorder="1" applyAlignment="1" applyProtection="1">
      <alignment horizontal="center" shrinkToFit="1"/>
      <protection hidden="1"/>
    </xf>
    <xf numFmtId="0" fontId="4" fillId="0" borderId="20" xfId="0" applyFont="1" applyBorder="1" applyAlignment="1" applyProtection="1">
      <alignment horizontal="center" vertical="center" textRotation="255" shrinkToFit="1"/>
      <protection hidden="1"/>
    </xf>
    <xf numFmtId="0" fontId="4" fillId="0" borderId="27" xfId="0" applyFont="1" applyBorder="1" applyAlignment="1" applyProtection="1">
      <alignment horizontal="center" vertical="center" textRotation="255" shrinkToFit="1"/>
      <protection hidden="1"/>
    </xf>
    <xf numFmtId="0" fontId="12" fillId="0" borderId="48" xfId="0" applyFont="1" applyBorder="1" applyAlignment="1" applyProtection="1">
      <alignment horizontal="center" shrinkToFit="1"/>
      <protection hidden="1"/>
    </xf>
    <xf numFmtId="0" fontId="12" fillId="0" borderId="5" xfId="0" applyFont="1" applyBorder="1" applyAlignment="1" applyProtection="1">
      <alignment horizontal="center" shrinkToFit="1"/>
      <protection hidden="1"/>
    </xf>
    <xf numFmtId="0" fontId="12" fillId="0" borderId="52" xfId="0" applyFont="1" applyBorder="1" applyAlignment="1" applyProtection="1">
      <alignment horizontal="center" shrinkToFit="1"/>
      <protection hidden="1"/>
    </xf>
    <xf numFmtId="0" fontId="4" fillId="0" borderId="10" xfId="0" applyFont="1" applyBorder="1" applyAlignment="1" applyProtection="1">
      <alignment horizontal="center" vertical="center" textRotation="255" shrinkToFit="1"/>
      <protection hidden="1"/>
    </xf>
    <xf numFmtId="0" fontId="16" fillId="0" borderId="41" xfId="0" applyFont="1" applyBorder="1" applyAlignment="1" applyProtection="1">
      <alignment horizontal="center" vertical="center" textRotation="255" wrapText="1" shrinkToFit="1"/>
      <protection hidden="1"/>
    </xf>
    <xf numFmtId="0" fontId="16" fillId="0" borderId="49" xfId="0" applyFont="1" applyBorder="1" applyAlignment="1" applyProtection="1">
      <alignment horizontal="center" vertical="center" textRotation="255" wrapText="1" shrinkToFit="1"/>
      <protection hidden="1"/>
    </xf>
    <xf numFmtId="0" fontId="16" fillId="0" borderId="50" xfId="0" applyFont="1" applyBorder="1" applyAlignment="1" applyProtection="1">
      <alignment horizontal="center" vertical="center" textRotation="255" wrapText="1" shrinkToFit="1"/>
      <protection hidden="1"/>
    </xf>
    <xf numFmtId="0" fontId="16" fillId="0" borderId="51" xfId="0" applyFont="1" applyBorder="1" applyAlignment="1" applyProtection="1">
      <alignment horizontal="center" vertical="center" textRotation="255" wrapText="1" shrinkToFit="1"/>
      <protection hidden="1"/>
    </xf>
    <xf numFmtId="0" fontId="4" fillId="0" borderId="2" xfId="0" applyFont="1" applyBorder="1" applyAlignment="1" applyProtection="1">
      <alignment horizontal="center" vertical="center" shrinkToFit="1"/>
      <protection hidden="1"/>
    </xf>
    <xf numFmtId="0" fontId="4" fillId="0" borderId="45" xfId="0" applyFont="1" applyBorder="1" applyAlignment="1" applyProtection="1">
      <alignment horizontal="center" vertical="center" shrinkToFit="1"/>
      <protection hidden="1"/>
    </xf>
    <xf numFmtId="0" fontId="4" fillId="0" borderId="30" xfId="0" applyFont="1" applyBorder="1" applyAlignment="1" applyProtection="1">
      <alignment horizontal="left" vertical="center" wrapText="1"/>
      <protection hidden="1"/>
    </xf>
    <xf numFmtId="0" fontId="4" fillId="0" borderId="46" xfId="0" applyFont="1" applyBorder="1" applyAlignment="1" applyProtection="1">
      <alignment horizontal="left" vertical="center" wrapText="1"/>
      <protection hidden="1"/>
    </xf>
    <xf numFmtId="0" fontId="4" fillId="0" borderId="47" xfId="0" applyFont="1" applyBorder="1" applyAlignment="1" applyProtection="1">
      <alignment horizontal="left" vertical="center" wrapText="1"/>
      <protection hidden="1"/>
    </xf>
    <xf numFmtId="0" fontId="12" fillId="0" borderId="2" xfId="0" applyFont="1" applyBorder="1" applyAlignment="1" applyProtection="1">
      <alignment horizontal="center" shrinkToFit="1"/>
      <protection hidden="1"/>
    </xf>
    <xf numFmtId="0" fontId="12" fillId="0" borderId="4" xfId="0" applyFont="1" applyBorder="1" applyAlignment="1" applyProtection="1">
      <alignment horizontal="center" shrinkToFit="1"/>
      <protection hidden="1"/>
    </xf>
    <xf numFmtId="0" fontId="12" fillId="0" borderId="45" xfId="0" applyFont="1" applyBorder="1" applyAlignment="1" applyProtection="1">
      <alignment horizontal="center" shrinkToFit="1"/>
      <protection hidden="1"/>
    </xf>
    <xf numFmtId="0" fontId="4" fillId="0" borderId="4" xfId="0" applyFont="1" applyBorder="1" applyAlignment="1" applyProtection="1">
      <alignment horizontal="center" vertical="center" shrinkToFit="1"/>
      <protection hidden="1"/>
    </xf>
    <xf numFmtId="0" fontId="4" fillId="0" borderId="3" xfId="0" applyFont="1" applyBorder="1" applyAlignment="1" applyProtection="1">
      <alignment horizontal="center" vertical="center" shrinkToFit="1"/>
      <protection hidden="1"/>
    </xf>
    <xf numFmtId="0" fontId="4" fillId="0" borderId="8" xfId="0" applyFont="1" applyBorder="1" applyAlignment="1">
      <alignment horizontal="center" vertical="center" textRotation="255" shrinkToFit="1"/>
    </xf>
    <xf numFmtId="0" fontId="4" fillId="0" borderId="9" xfId="0" applyFont="1" applyBorder="1" applyAlignment="1">
      <alignment horizontal="center" vertical="center" textRotation="255" shrinkToFit="1"/>
    </xf>
    <xf numFmtId="0" fontId="4" fillId="0" borderId="28" xfId="0" applyFont="1" applyBorder="1" applyAlignment="1">
      <alignment horizontal="center" vertical="center" textRotation="255" shrinkToFit="1"/>
    </xf>
    <xf numFmtId="0" fontId="4" fillId="0" borderId="1"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0" borderId="45" xfId="0" applyFont="1" applyBorder="1" applyAlignment="1">
      <alignment horizontal="center" vertical="center" shrinkToFit="1"/>
    </xf>
    <xf numFmtId="0" fontId="12" fillId="0" borderId="2" xfId="0" applyFont="1" applyBorder="1" applyAlignment="1">
      <alignment horizontal="center" shrinkToFit="1"/>
    </xf>
    <xf numFmtId="0" fontId="12" fillId="0" borderId="4" xfId="0" applyFont="1" applyBorder="1" applyAlignment="1">
      <alignment horizontal="center" shrinkToFit="1"/>
    </xf>
    <xf numFmtId="0" fontId="12" fillId="0" borderId="45" xfId="0" applyFont="1" applyBorder="1" applyAlignment="1">
      <alignment horizontal="center" shrinkToFit="1"/>
    </xf>
    <xf numFmtId="0" fontId="12" fillId="0" borderId="1" xfId="0" applyFont="1" applyBorder="1" applyAlignment="1">
      <alignment horizontal="center" shrinkToFit="1"/>
    </xf>
    <xf numFmtId="0" fontId="12" fillId="0" borderId="6" xfId="0" applyFont="1" applyBorder="1" applyAlignment="1">
      <alignment horizontal="center" shrinkToFit="1"/>
    </xf>
    <xf numFmtId="0" fontId="13" fillId="0" borderId="0" xfId="0" applyFont="1" applyBorder="1" applyAlignment="1">
      <alignment horizontal="center" shrinkToFit="1"/>
    </xf>
    <xf numFmtId="0" fontId="4" fillId="0" borderId="1" xfId="0" applyFont="1" applyBorder="1" applyAlignment="1">
      <alignment horizontal="center" vertical="center" textRotation="255" shrinkToFit="1"/>
    </xf>
    <xf numFmtId="0" fontId="4" fillId="0" borderId="10" xfId="0" applyFont="1" applyBorder="1" applyAlignment="1">
      <alignment horizontal="center" vertical="center" textRotation="255" shrinkToFit="1"/>
    </xf>
    <xf numFmtId="0" fontId="4" fillId="0" borderId="19" xfId="0" applyFont="1" applyBorder="1" applyAlignment="1">
      <alignment horizontal="center" vertical="center" textRotation="255" shrinkToFit="1"/>
    </xf>
    <xf numFmtId="0" fontId="4" fillId="0" borderId="20" xfId="0" applyFont="1" applyBorder="1" applyAlignment="1">
      <alignment horizontal="center" vertical="center" textRotation="255" shrinkToFit="1"/>
    </xf>
    <xf numFmtId="0" fontId="4" fillId="0" borderId="27" xfId="0" applyFont="1" applyBorder="1" applyAlignment="1">
      <alignment horizontal="center" vertical="center" textRotation="255" shrinkToFi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45" xfId="0" applyFont="1" applyBorder="1" applyAlignment="1">
      <alignment horizontal="left" vertical="center" wrapText="1"/>
    </xf>
    <xf numFmtId="0" fontId="4" fillId="0" borderId="0" xfId="0" applyFont="1" applyBorder="1" applyAlignment="1">
      <alignment horizontal="left" vertical="center" wrapText="1" shrinkToFit="1"/>
    </xf>
    <xf numFmtId="0" fontId="4" fillId="0" borderId="18" xfId="0" applyFont="1" applyBorder="1" applyAlignment="1">
      <alignment horizontal="center" vertical="center" textRotation="255" shrinkToFit="1"/>
    </xf>
    <xf numFmtId="0" fontId="4" fillId="0" borderId="39" xfId="0" applyFont="1" applyBorder="1" applyAlignment="1">
      <alignment horizontal="center" vertical="center" textRotation="255" shrinkToFit="1"/>
    </xf>
    <xf numFmtId="0" fontId="4" fillId="0" borderId="40" xfId="0" applyFont="1" applyBorder="1" applyAlignment="1">
      <alignment horizontal="center" vertical="center" textRotation="255" shrinkToFit="1"/>
    </xf>
    <xf numFmtId="0" fontId="12" fillId="0" borderId="43" xfId="0" applyFont="1" applyBorder="1" applyAlignment="1">
      <alignment horizontal="center" shrinkToFit="1"/>
    </xf>
    <xf numFmtId="0" fontId="12" fillId="0" borderId="15" xfId="0" applyFont="1" applyBorder="1" applyAlignment="1">
      <alignment horizontal="center" shrinkToFit="1"/>
    </xf>
    <xf numFmtId="0" fontId="12" fillId="0" borderId="44" xfId="0" applyFont="1" applyBorder="1" applyAlignment="1">
      <alignment horizontal="center" shrinkToFit="1"/>
    </xf>
    <xf numFmtId="0" fontId="4" fillId="0" borderId="18" xfId="0" applyFont="1" applyBorder="1" applyAlignment="1">
      <alignment horizontal="left" vertical="center" wrapText="1"/>
    </xf>
    <xf numFmtId="0" fontId="4" fillId="0" borderId="7" xfId="0" applyFont="1" applyBorder="1" applyAlignment="1">
      <alignment horizontal="left" vertical="center" wrapText="1"/>
    </xf>
    <xf numFmtId="0" fontId="4" fillId="0" borderId="30" xfId="0" applyFont="1" applyBorder="1" applyAlignment="1">
      <alignment horizontal="left"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12" fillId="0" borderId="25" xfId="0" applyFont="1" applyBorder="1" applyAlignment="1">
      <alignment horizontal="center" shrinkToFit="1"/>
    </xf>
    <xf numFmtId="0" fontId="12" fillId="0" borderId="26" xfId="0" applyFont="1" applyBorder="1" applyAlignment="1">
      <alignment horizontal="center" shrinkToFit="1"/>
    </xf>
    <xf numFmtId="0" fontId="4" fillId="0" borderId="1" xfId="0" applyFont="1" applyBorder="1" applyAlignment="1" applyProtection="1">
      <alignment horizontal="center" vertical="center" wrapText="1"/>
      <protection hidden="1"/>
    </xf>
    <xf numFmtId="0" fontId="4" fillId="0" borderId="18" xfId="0" applyFont="1" applyBorder="1" applyAlignment="1" applyProtection="1">
      <alignment horizontal="center" vertical="center"/>
      <protection hidden="1"/>
    </xf>
    <xf numFmtId="0" fontId="4" fillId="0" borderId="1" xfId="0" applyFont="1" applyBorder="1" applyAlignment="1" applyProtection="1">
      <alignment horizontal="left" vertical="center"/>
      <protection hidden="1"/>
    </xf>
    <xf numFmtId="0" fontId="4" fillId="0" borderId="21" xfId="0" applyFont="1" applyBorder="1" applyAlignment="1" applyProtection="1">
      <alignment horizontal="center" vertical="center" textRotation="255"/>
      <protection hidden="1"/>
    </xf>
    <xf numFmtId="0" fontId="4" fillId="0" borderId="16" xfId="0" applyFont="1" applyBorder="1" applyAlignment="1" applyProtection="1">
      <alignment horizontal="center" vertical="center" textRotation="255"/>
      <protection hidden="1"/>
    </xf>
    <xf numFmtId="0" fontId="4" fillId="0" borderId="17" xfId="0" applyFont="1" applyBorder="1" applyAlignment="1" applyProtection="1">
      <alignment horizontal="center" vertical="center" textRotation="255"/>
      <protection hidden="1"/>
    </xf>
    <xf numFmtId="0" fontId="4" fillId="0" borderId="18" xfId="0" applyFont="1" applyBorder="1" applyAlignment="1" applyProtection="1">
      <alignment horizontal="left" vertical="center"/>
      <protection hidden="1"/>
    </xf>
    <xf numFmtId="0" fontId="4" fillId="0" borderId="30" xfId="0" applyFont="1" applyBorder="1" applyAlignment="1" applyProtection="1">
      <alignment horizontal="left" vertical="center"/>
      <protection hidden="1"/>
    </xf>
    <xf numFmtId="0" fontId="15" fillId="0" borderId="0" xfId="0" applyFont="1" applyBorder="1" applyAlignment="1" applyProtection="1">
      <alignment horizontal="center" vertical="center"/>
      <protection hidden="1"/>
    </xf>
    <xf numFmtId="0" fontId="4" fillId="0" borderId="8" xfId="0" applyFont="1" applyBorder="1" applyAlignment="1" applyProtection="1">
      <alignment horizontal="center" vertical="center" wrapText="1"/>
      <protection hidden="1"/>
    </xf>
    <xf numFmtId="0" fontId="4"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protection hidden="1"/>
    </xf>
    <xf numFmtId="0" fontId="4" fillId="0" borderId="9" xfId="0"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cellXfs>
  <cellStyles count="1">
    <cellStyle name="標準" xfId="0" builtinId="0"/>
  </cellStyles>
  <dxfs count="3">
    <dxf>
      <font>
        <color rgb="FFFF0000"/>
      </font>
    </dxf>
    <dxf>
      <font>
        <color rgb="FFFF0000"/>
      </font>
    </dxf>
    <dxf>
      <font>
        <color rgb="FFFF0000"/>
      </font>
    </dxf>
  </dxfs>
  <tableStyles count="0" defaultTableStyle="TableStyleMedium2" defaultPivotStyle="PivotStyleLight16"/>
  <colors>
    <mruColors>
      <color rgb="FFCCFF99"/>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8463</xdr:colOff>
      <xdr:row>0</xdr:row>
      <xdr:rowOff>0</xdr:rowOff>
    </xdr:from>
    <xdr:to>
      <xdr:col>0</xdr:col>
      <xdr:colOff>2167463</xdr:colOff>
      <xdr:row>0</xdr:row>
      <xdr:rowOff>423333</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8463" y="0"/>
          <a:ext cx="2159000" cy="4233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1600">
              <a:solidFill>
                <a:srgbClr val="FF0000"/>
              </a:solidFill>
              <a:latin typeface="Meiryo UI" panose="020B0604030504040204" pitchFamily="50" charset="-128"/>
              <a:ea typeface="Meiryo UI" panose="020B0604030504040204" pitchFamily="50" charset="-128"/>
            </a:rPr>
            <a:t>『</a:t>
          </a:r>
          <a:r>
            <a:rPr kumimoji="1" lang="ja-JP" altLang="en-US" sz="1600">
              <a:solidFill>
                <a:srgbClr val="FF0000"/>
              </a:solidFill>
              <a:latin typeface="Meiryo UI" panose="020B0604030504040204" pitchFamily="50" charset="-128"/>
              <a:ea typeface="Meiryo UI" panose="020B0604030504040204" pitchFamily="50" charset="-128"/>
            </a:rPr>
            <a:t>お取引先様開示可</a:t>
          </a:r>
          <a:r>
            <a:rPr kumimoji="1" lang="en-US" altLang="ja-JP" sz="1600">
              <a:solidFill>
                <a:srgbClr val="FF0000"/>
              </a:solidFill>
              <a:latin typeface="Meiryo UI" panose="020B0604030504040204" pitchFamily="50" charset="-128"/>
              <a:ea typeface="Meiryo UI" panose="020B0604030504040204" pitchFamily="50" charset="-128"/>
            </a:rPr>
            <a:t>』</a:t>
          </a:r>
          <a:endParaRPr kumimoji="1" lang="ja-JP" altLang="en-US" sz="1600">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11</xdr:col>
      <xdr:colOff>160864</xdr:colOff>
      <xdr:row>0</xdr:row>
      <xdr:rowOff>8465</xdr:rowOff>
    </xdr:from>
    <xdr:to>
      <xdr:col>14</xdr:col>
      <xdr:colOff>592664</xdr:colOff>
      <xdr:row>2</xdr:row>
      <xdr:rowOff>16934</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2615331" y="8465"/>
          <a:ext cx="2260600" cy="88900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ja-JP" altLang="en-US" sz="1200">
              <a:latin typeface="Meiryo UI" panose="020B0604030504040204" pitchFamily="50" charset="-128"/>
              <a:ea typeface="Meiryo UI" panose="020B0604030504040204" pitchFamily="50" charset="-128"/>
            </a:rPr>
            <a:t>ハンファ</a:t>
          </a:r>
          <a:r>
            <a:rPr kumimoji="1" lang="en-US" altLang="ja-JP" sz="1200">
              <a:latin typeface="Meiryo UI" panose="020B0604030504040204" pitchFamily="50" charset="-128"/>
              <a:ea typeface="Meiryo UI" panose="020B0604030504040204" pitchFamily="50" charset="-128"/>
            </a:rPr>
            <a:t>Q</a:t>
          </a:r>
          <a:r>
            <a:rPr kumimoji="1" lang="ja-JP" altLang="en-US" sz="1200">
              <a:latin typeface="Meiryo UI" panose="020B0604030504040204" pitchFamily="50" charset="-128"/>
              <a:ea typeface="Meiryo UI" panose="020B0604030504040204" pitchFamily="50" charset="-128"/>
            </a:rPr>
            <a:t>セルズジャパン株式会社</a:t>
          </a:r>
        </a:p>
        <a:p>
          <a:pPr algn="r"/>
          <a:r>
            <a:rPr kumimoji="1" lang="en-US" altLang="ja-JP" sz="1200">
              <a:latin typeface="Meiryo UI" panose="020B0604030504040204" pitchFamily="50" charset="-128"/>
              <a:ea typeface="Meiryo UI" panose="020B0604030504040204" pitchFamily="50" charset="-128"/>
            </a:rPr>
            <a:t>HQJT18066</a:t>
          </a:r>
          <a:r>
            <a:rPr kumimoji="1" lang="ja-JP" altLang="en-US" sz="1200">
              <a:latin typeface="Meiryo UI" panose="020B0604030504040204" pitchFamily="50" charset="-128"/>
              <a:ea typeface="Meiryo UI" panose="020B0604030504040204" pitchFamily="50" charset="-128"/>
            </a:rPr>
            <a:t>　</a:t>
          </a:r>
          <a:r>
            <a:rPr kumimoji="1" lang="en-US" altLang="ja-JP" sz="1200">
              <a:latin typeface="Meiryo UI" panose="020B0604030504040204" pitchFamily="50" charset="-128"/>
              <a:ea typeface="Meiryo UI" panose="020B0604030504040204" pitchFamily="50" charset="-128"/>
            </a:rPr>
            <a:t>Ver.1.7</a:t>
          </a:r>
        </a:p>
        <a:p>
          <a:pPr algn="r"/>
          <a:r>
            <a:rPr kumimoji="1" lang="en-US" altLang="ja-JP" sz="1200">
              <a:latin typeface="Meiryo UI" panose="020B0604030504040204" pitchFamily="50" charset="-128"/>
              <a:ea typeface="Meiryo UI" panose="020B0604030504040204" pitchFamily="50" charset="-128"/>
            </a:rPr>
            <a:t>2024.4.24</a:t>
          </a:r>
          <a:endParaRPr kumimoji="1" lang="ja-JP" altLang="en-US" sz="1200">
            <a:latin typeface="Meiryo UI" panose="020B0604030504040204" pitchFamily="50" charset="-128"/>
            <a:ea typeface="Meiryo UI" panose="020B0604030504040204"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76199</xdr:colOff>
      <xdr:row>28</xdr:row>
      <xdr:rowOff>93134</xdr:rowOff>
    </xdr:from>
    <xdr:to>
      <xdr:col>8</xdr:col>
      <xdr:colOff>400896</xdr:colOff>
      <xdr:row>48</xdr:row>
      <xdr:rowOff>94187</xdr:rowOff>
    </xdr:to>
    <xdr:pic>
      <xdr:nvPicPr>
        <xdr:cNvPr id="6" name="図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6053666" y="5825067"/>
          <a:ext cx="5537200" cy="3895720"/>
        </a:xfrm>
        <a:prstGeom prst="rect">
          <a:avLst/>
        </a:prstGeom>
      </xdr:spPr>
    </xdr:pic>
    <xdr:clientData/>
  </xdr:twoCellAnchor>
  <xdr:twoCellAnchor>
    <xdr:from>
      <xdr:col>11</xdr:col>
      <xdr:colOff>228600</xdr:colOff>
      <xdr:row>0</xdr:row>
      <xdr:rowOff>25400</xdr:rowOff>
    </xdr:from>
    <xdr:to>
      <xdr:col>15</xdr:col>
      <xdr:colOff>50800</xdr:colOff>
      <xdr:row>3</xdr:row>
      <xdr:rowOff>16933</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3097933" y="25400"/>
          <a:ext cx="2260600" cy="8551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ja-JP" altLang="en-US" sz="1200">
              <a:latin typeface="Meiryo UI" panose="020B0604030504040204" pitchFamily="50" charset="-128"/>
              <a:ea typeface="Meiryo UI" panose="020B0604030504040204" pitchFamily="50" charset="-128"/>
            </a:rPr>
            <a:t>ハンファ</a:t>
          </a:r>
          <a:r>
            <a:rPr kumimoji="1" lang="en-US" altLang="ja-JP" sz="1200">
              <a:latin typeface="Meiryo UI" panose="020B0604030504040204" pitchFamily="50" charset="-128"/>
              <a:ea typeface="Meiryo UI" panose="020B0604030504040204" pitchFamily="50" charset="-128"/>
            </a:rPr>
            <a:t>Q</a:t>
          </a:r>
          <a:r>
            <a:rPr kumimoji="1" lang="ja-JP" altLang="en-US" sz="1200">
              <a:latin typeface="Meiryo UI" panose="020B0604030504040204" pitchFamily="50" charset="-128"/>
              <a:ea typeface="Meiryo UI" panose="020B0604030504040204" pitchFamily="50" charset="-128"/>
            </a:rPr>
            <a:t>セルズジャパン株式会社</a:t>
          </a:r>
        </a:p>
        <a:p>
          <a:pPr algn="r"/>
          <a:r>
            <a:rPr kumimoji="1" lang="en-US" altLang="ja-JP" sz="1200">
              <a:latin typeface="Meiryo UI" panose="020B0604030504040204" pitchFamily="50" charset="-128"/>
              <a:ea typeface="Meiryo UI" panose="020B0604030504040204" pitchFamily="50" charset="-128"/>
            </a:rPr>
            <a:t>HQJT18066</a:t>
          </a:r>
          <a:r>
            <a:rPr kumimoji="1" lang="ja-JP" altLang="en-US" sz="1200">
              <a:latin typeface="Meiryo UI" panose="020B0604030504040204" pitchFamily="50" charset="-128"/>
              <a:ea typeface="Meiryo UI" panose="020B0604030504040204" pitchFamily="50" charset="-128"/>
            </a:rPr>
            <a:t>　</a:t>
          </a:r>
          <a:r>
            <a:rPr kumimoji="1" lang="en-US" altLang="ja-JP" sz="1200">
              <a:latin typeface="Meiryo UI" panose="020B0604030504040204" pitchFamily="50" charset="-128"/>
              <a:ea typeface="Meiryo UI" panose="020B0604030504040204" pitchFamily="50" charset="-128"/>
            </a:rPr>
            <a:t>Ver.1.4</a:t>
          </a:r>
        </a:p>
        <a:p>
          <a:pPr algn="r"/>
          <a:r>
            <a:rPr kumimoji="1" lang="en-US" altLang="ja-JP" sz="1200">
              <a:latin typeface="Meiryo UI" panose="020B0604030504040204" pitchFamily="50" charset="-128"/>
              <a:ea typeface="Meiryo UI" panose="020B0604030504040204" pitchFamily="50" charset="-128"/>
            </a:rPr>
            <a:t>2019.9.9</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O39"/>
  <sheetViews>
    <sheetView showGridLines="0" tabSelected="1" zoomScale="90" zoomScaleNormal="90" workbookViewId="0">
      <selection activeCell="B25" sqref="B25:D25"/>
    </sheetView>
  </sheetViews>
  <sheetFormatPr defaultColWidth="8.875" defaultRowHeight="15.75" x14ac:dyDescent="0.15"/>
  <cols>
    <col min="1" max="1" width="41.25" style="1" customWidth="1"/>
    <col min="2" max="2" width="12.875" style="1" customWidth="1"/>
    <col min="3" max="3" width="13.75" style="1" customWidth="1"/>
    <col min="4" max="4" width="13.125" style="1" customWidth="1"/>
    <col min="5" max="5" width="2.625" style="1" customWidth="1"/>
    <col min="6" max="6" width="40.25" style="1" customWidth="1"/>
    <col min="7" max="7" width="6.875" style="1" customWidth="1"/>
    <col min="8" max="8" width="27.625" style="1" customWidth="1"/>
    <col min="9" max="9" width="6.5" style="1" customWidth="1"/>
    <col min="10" max="16384" width="8.875" style="1"/>
  </cols>
  <sheetData>
    <row r="1" spans="1:15" ht="36" customHeight="1" x14ac:dyDescent="0.15">
      <c r="L1" s="169"/>
      <c r="M1" s="169"/>
      <c r="N1" s="169"/>
      <c r="O1" s="169"/>
    </row>
    <row r="2" spans="1:15" ht="33.6" customHeight="1" x14ac:dyDescent="0.15">
      <c r="A2" s="170" t="s">
        <v>275</v>
      </c>
      <c r="B2" s="170"/>
      <c r="C2" s="170"/>
      <c r="D2" s="170"/>
      <c r="E2" s="170"/>
      <c r="F2" s="170"/>
      <c r="G2" s="170"/>
      <c r="H2" s="170"/>
      <c r="I2" s="170"/>
      <c r="J2" s="170"/>
      <c r="K2" s="170"/>
      <c r="L2" s="170"/>
      <c r="M2" s="170"/>
      <c r="N2" s="170"/>
      <c r="O2" s="170"/>
    </row>
    <row r="3" spans="1:15" ht="20.25" thickBot="1" x14ac:dyDescent="0.35">
      <c r="A3" s="18" t="s">
        <v>122</v>
      </c>
      <c r="B3" s="179" t="s">
        <v>105</v>
      </c>
      <c r="C3" s="179"/>
      <c r="D3" s="179"/>
      <c r="E3" s="17"/>
      <c r="F3" s="183" t="s">
        <v>280</v>
      </c>
      <c r="G3" s="183"/>
      <c r="H3" s="183"/>
      <c r="I3" s="183"/>
    </row>
    <row r="4" spans="1:15" ht="15.6" customHeight="1" thickBot="1" x14ac:dyDescent="0.2">
      <c r="A4" s="194" t="s">
        <v>322</v>
      </c>
      <c r="B4" s="174" t="s">
        <v>106</v>
      </c>
      <c r="C4" s="175"/>
      <c r="D4" s="176"/>
      <c r="F4" s="19" t="s">
        <v>6</v>
      </c>
      <c r="G4" s="20" t="s">
        <v>55</v>
      </c>
      <c r="H4" s="20" t="s">
        <v>7</v>
      </c>
      <c r="I4" s="21" t="s">
        <v>8</v>
      </c>
      <c r="J4" s="36"/>
    </row>
    <row r="5" spans="1:15" x14ac:dyDescent="0.15">
      <c r="A5" s="194"/>
      <c r="B5" s="182" t="s">
        <v>702</v>
      </c>
      <c r="C5" s="182"/>
      <c r="D5" s="182"/>
      <c r="F5" s="25" t="str">
        <f>IF($B$9="選択したモニタ類が合っていません。","",AiSEG2拾い出し算出シート!I2)</f>
        <v>AiSEG2(7型モニター機能付)</v>
      </c>
      <c r="G5" s="26" t="str">
        <f>IF(F5="","",VLOOKUP(F5,AiSEG2拾い出し算出シート!$I$24:$M$68,2,FALSE))</f>
        <v>台</v>
      </c>
      <c r="H5" s="27" t="str">
        <f>IF(F5="","",IF(AiSEG2拾い出し算出シート!F10=1,AiSEG2拾い出し算出シート!K35,VLOOKUP(F5,AiSEG2拾い出し算出シート!$I$24:$M$68,3,FALSE)))</f>
        <v>MKN713</v>
      </c>
      <c r="I5" s="28">
        <f>IF(F5="","",VLOOKUP(F5,AiSEG2拾い出し算出シート!$I$24:$M$68,4,FALSE))</f>
        <v>1</v>
      </c>
      <c r="J5" s="36" t="str">
        <f>IF(F5="","",IF(VLOOKUP(F5,AiSEG2拾い出し算出シート!$I$24:$M$68,5,FALSE)="","",VLOOKUP(F5,AiSEG2拾い出し算出シート!$I$24:$M$68,5,FALSE)))</f>
        <v/>
      </c>
    </row>
    <row r="6" spans="1:15" x14ac:dyDescent="0.15">
      <c r="A6" s="194"/>
      <c r="B6" s="22"/>
      <c r="C6" s="22"/>
      <c r="D6" s="22"/>
      <c r="F6" s="29" t="str">
        <f>IF(OR($B$9="選択したモニタ類が合っていません。"),"",AiSEG2拾い出し算出シート!I3)</f>
        <v>AiSEG用エネルギー計測ユニット(増設アダプタセット)</v>
      </c>
      <c r="G6" s="30" t="str">
        <f>IF(F6="","",VLOOKUP(F6,AiSEG2拾い出し算出シート!$I$24:$M$68,2,FALSE))</f>
        <v>セット</v>
      </c>
      <c r="H6" s="31" t="str">
        <f>IF(F6="","",VLOOKUP(F6,AiSEG2拾い出し算出シート!$I$24:$M$68,3,FALSE))</f>
        <v>MKN73318</v>
      </c>
      <c r="I6" s="32">
        <f>IF(F6="","",VLOOKUP(F6,AiSEG2拾い出し算出シート!$I$24:$M$68,4,FALSE))</f>
        <v>1</v>
      </c>
      <c r="J6" s="36" t="str">
        <f>IF(F6="","",IF(VLOOKUP(F6,AiSEG2拾い出し算出シート!$I$24:$M$68,5,FALSE)="","",VLOOKUP(F6,AiSEG2拾い出し算出シート!$I$24:$M$68,5,FALSE)))</f>
        <v>←主幹と最大38回路の分岐計測が可能。分岐計測が8回路を超える場合は、
オプションのケーブルとCTが必要です。</v>
      </c>
    </row>
    <row r="7" spans="1:15" x14ac:dyDescent="0.15">
      <c r="A7" s="194"/>
      <c r="B7" s="174" t="s">
        <v>108</v>
      </c>
      <c r="C7" s="175"/>
      <c r="D7" s="176"/>
      <c r="F7" s="29" t="str">
        <f>IF(OR($B$9="選択したモニタ類が合っていません。"),"",AiSEG2拾い出し算出シート!I4)</f>
        <v>室内リモコン</v>
      </c>
      <c r="G7" s="30" t="str">
        <f>IF(F7="","",VLOOKUP(F7,AiSEG2拾い出し算出シート!$I$24:$M$68,2,FALSE))</f>
        <v>セット</v>
      </c>
      <c r="H7" s="31" t="str">
        <f>IF(F7="","",VLOOKUP(F7,AiSEG2拾い出し算出シート!$I$24:$M$68,3,FALSE))</f>
        <v>QREADY-RM-1</v>
      </c>
      <c r="I7" s="32">
        <f>IF(F7="","",VLOOKUP(F7,AiSEG2拾い出し算出シート!$I$24:$M$68,4,FALSE))</f>
        <v>1</v>
      </c>
      <c r="J7" s="36" t="str">
        <f>IF(F7="","",IF(VLOOKUP(F7,AiSEG2拾い出し算出シート!$I$24:$M$68,5,FALSE)="","",VLOOKUP(F7,AiSEG2拾い出し算出シート!$I$24:$M$68,5,FALSE)))</f>
        <v>←不要な場合は見積編集画の数量(変更)に0を入力して下さい。</v>
      </c>
    </row>
    <row r="8" spans="1:15" x14ac:dyDescent="0.15">
      <c r="A8" s="194"/>
      <c r="B8" s="182" t="s">
        <v>703</v>
      </c>
      <c r="C8" s="182"/>
      <c r="D8" s="182"/>
      <c r="F8" s="29" t="str">
        <f>IF(OR($B$9="選択したモニタ類が合っていません。"),"",AiSEG2拾い出し算出シート!I5)</f>
        <v/>
      </c>
      <c r="G8" s="30" t="str">
        <f>IF(F8="","",VLOOKUP(F8,AiSEG2拾い出し算出シート!$I$24:$M$68,2,FALSE))</f>
        <v/>
      </c>
      <c r="H8" s="31" t="str">
        <f>IF(F8="","",VLOOKUP(F8,AiSEG2拾い出し算出シート!$I$24:$M$68,3,FALSE))</f>
        <v/>
      </c>
      <c r="I8" s="32" t="str">
        <f>IF(F8="","",VLOOKUP(F8,AiSEG2拾い出し算出シート!$I$24:$M$68,4,FALSE))</f>
        <v/>
      </c>
      <c r="J8" s="36" t="str">
        <f>IF(F8="","",IF(VLOOKUP(F8,AiSEG2拾い出し算出シート!$I$24:$M$68,5,FALSE)="","",VLOOKUP(F8,AiSEG2拾い出し算出シート!$I$24:$M$68,5,FALSE)))</f>
        <v/>
      </c>
    </row>
    <row r="9" spans="1:15" x14ac:dyDescent="0.15">
      <c r="A9" s="194"/>
      <c r="B9" s="24" t="str">
        <f>IFERROR(IF(OR(AND(AiSEG2拾い出し算出シート!F9=4,OR(AiSEG2拾い出し算出シート!F10=1,AiSEG2拾い出し算出シート!F10=15,AND(AiSEG2拾い出し算出シート!F10&gt;=4,AiSEG2拾い出し算出シート!F10&lt;=12))),AND(AiSEG2拾い出し算出シート!F9=3,OR(AiSEG2拾い出し算出シート!F10=1,AiSEG2拾い出し算出シート!F10=15,AND(AiSEG2拾い出し算出シート!F10&gt;=6,AiSEG2拾い出し算出シート!F10&lt;=8),AiSEG2拾い出し算出シート!F10=11,AiSEG2拾い出し算出シート!F10=12)),AND(AiSEG2拾い出し算出シート!F9=1,AND(AiSEG2拾い出し算出シート!F10&lt;&gt;1,AiSEG2拾い出し算出シート!F10&lt;&gt;10)),AND(AiSEG2拾い出し算出シート!F9=2,OR(AiSEG2拾い出し算出シート!F10&lt;=3,AND(AiSEG2拾い出し算出シート!F10&gt;=6,AiSEG2拾い出し算出シート!F10&lt;=8),AiSEG2拾い出し算出シート!F10&gt;=11)),AND(AiSEG2拾い出し算出シート!F9=5,OR(AiSEG2拾い出し算出シート!F10=1,AiSEG2拾い出し算出シート!F10&lt;&gt;6)),AND(AiSEG2拾い出し算出シート!F9&lt;&gt;6,AiSEG2拾い出し算出シート!F10=8),AND(AiSEG2拾い出し算出シート!F9=6,AiSEG2拾い出し算出シート!F10&lt;&gt;7),AND(AiSEG2拾い出し算出シート!F9=8,OR(AiSEG2拾い出し算出シート!F10&lt;=8,AND(AiSEG2拾い出し算出シート!F10&gt;=14,AiSEG2拾い出し算出シート!F10&lt;=29),AiSEG2拾い出し算出シート!F10&gt;=34)),AND(AiSEG2拾い出し算出シート!F9=15,OR(AiSEG2拾い出し算出シート!F10&lt;=8,AND(AiSEG2拾い出し算出シート!F10&gt;=14,AiSEG2拾い出し算出シート!F10&lt;=29),AiSEG2拾い出し算出シート!F10&gt;=34)),AND(AiSEG2拾い出し算出シート!F9=9,OR(AiSEG2拾い出し算出シート!F10&lt;=8,AiSEG2拾い出し算出シート!F10&gt;=11)),AND(AiSEG2拾い出し算出シート!F9=10,AiSEG2拾い出し算出シート!F10&lt;&gt;15),AND(AiSEG2拾い出し算出シート!F9=11,AiSEG2拾い出し算出シート!F10&lt;&gt;20),AND(AiSEG2拾い出し算出シート!F9=12,AiSEG2拾い出し算出シート!F10&lt;&gt;19),AND(AiSEG2拾い出し算出シート!F9=13,AiSEG2拾い出し算出シート!F10&lt;&gt;21),AND(AiSEG2拾い出し算出シート!F9=14,AiSEG2拾い出し算出シート!F10&lt;&gt;22),AND(AiSEG2拾い出し算出シート!F9=16,OR(AiSEG2拾い出し算出シート!F10&lt;9,AND(AiSEG2拾い出し算出シート!F10&gt;12,AiSEG2拾い出し算出シート!F10&lt;30),AiSEG2拾い出し算出シート!F10&gt;33)),AND(AiSEG2拾い出し算出シート!F9=17,OR(AiSEG2拾い出し算出シート!F10&lt;9,AND(AiSEG2拾い出し算出シート!F10&gt;12,AiSEG2拾い出し算出シート!F10&lt;30),AiSEG2拾い出し算出シート!F10&gt;33))),"選択したモニタ類が合っていません。",""),"")</f>
        <v/>
      </c>
      <c r="C9" s="23"/>
      <c r="D9" s="23"/>
      <c r="F9" s="29" t="str">
        <f>IF(OR($B$9="選択したモニタ類が合っていません。"),"",AiSEG2拾い出し算出シート!I6)</f>
        <v/>
      </c>
      <c r="G9" s="30" t="str">
        <f>IF(F9="","",VLOOKUP(F9,AiSEG2拾い出し算出シート!$I$24:$M$68,2,FALSE))</f>
        <v/>
      </c>
      <c r="H9" s="31" t="str">
        <f>IF(F9="","",VLOOKUP(F9,AiSEG2拾い出し算出シート!$I$24:$M$68,3,FALSE))</f>
        <v/>
      </c>
      <c r="I9" s="32" t="str">
        <f>IF(F9="","",VLOOKUP(F9,AiSEG2拾い出し算出シート!$I$24:$M$68,4,FALSE))</f>
        <v/>
      </c>
      <c r="J9" s="36" t="str">
        <f>IF(F9="","",IF(VLOOKUP(F9,AiSEG2拾い出し算出シート!$I$24:$M$68,5,FALSE)="","",VLOOKUP(F9,AiSEG2拾い出し算出シート!$I$24:$M$68,5,FALSE)))</f>
        <v/>
      </c>
    </row>
    <row r="10" spans="1:15" x14ac:dyDescent="0.15">
      <c r="A10" s="194"/>
      <c r="B10" s="177" t="s">
        <v>30</v>
      </c>
      <c r="C10" s="177"/>
      <c r="D10" s="177"/>
      <c r="F10" s="29" t="str">
        <f>IF(OR($B$9="選択したモニタ類が合っていません。"),"",AiSEG2拾い出し算出シート!I7)</f>
        <v/>
      </c>
      <c r="G10" s="30" t="str">
        <f>IF(F10="","",VLOOKUP(F10,AiSEG2拾い出し算出シート!$I$24:$M$68,2,FALSE))</f>
        <v/>
      </c>
      <c r="H10" s="31" t="str">
        <f>IF(F10="","",VLOOKUP(F10,AiSEG2拾い出し算出シート!$I$24:$M$68,3,FALSE))</f>
        <v/>
      </c>
      <c r="I10" s="32" t="str">
        <f>IF(F10="","",VLOOKUP(F10,AiSEG2拾い出し算出シート!$I$24:$M$68,4,FALSE))</f>
        <v/>
      </c>
      <c r="J10" s="36" t="str">
        <f>IF(F10="","",IF(VLOOKUP(F10,AiSEG2拾い出し算出シート!$I$24:$M$68,5,FALSE)="","",VLOOKUP(F10,AiSEG2拾い出し算出シート!$I$24:$M$68,5,FALSE)))</f>
        <v/>
      </c>
    </row>
    <row r="11" spans="1:15" x14ac:dyDescent="0.15">
      <c r="A11" s="194"/>
      <c r="B11" s="182" t="s">
        <v>32</v>
      </c>
      <c r="C11" s="182"/>
      <c r="D11" s="182"/>
      <c r="F11" s="29" t="str">
        <f>IF(OR($B$9="選択したモニタ類が合っていません。"),"",AiSEG2拾い出し算出シート!I8)</f>
        <v/>
      </c>
      <c r="G11" s="30" t="str">
        <f>IF(F11="","",VLOOKUP(F11,AiSEG2拾い出し算出シート!$I$24:$M$68,2,FALSE))</f>
        <v/>
      </c>
      <c r="H11" s="31" t="str">
        <f>IF(F11="","",VLOOKUP(F11,AiSEG2拾い出し算出シート!$I$24:$M$68,3,FALSE))</f>
        <v/>
      </c>
      <c r="I11" s="32" t="str">
        <f>IF(F11="","",VLOOKUP(F11,AiSEG2拾い出し算出シート!$I$24:$M$68,4,FALSE))</f>
        <v/>
      </c>
      <c r="J11" s="36" t="str">
        <f>IF(F11="","",IF(VLOOKUP(F11,AiSEG2拾い出し算出シート!$I$24:$M$68,5,FALSE)="","",VLOOKUP(F11,AiSEG2拾い出し算出シート!$I$24:$M$68,5,FALSE)))</f>
        <v/>
      </c>
    </row>
    <row r="12" spans="1:15" x14ac:dyDescent="0.15">
      <c r="A12" s="194"/>
      <c r="B12" s="22"/>
      <c r="C12" s="22"/>
      <c r="D12" s="22"/>
      <c r="F12" s="29" t="str">
        <f>IF(OR($B$9="選択したモニタ類が合っていません。"),"",AiSEG2拾い出し算出シート!I9)</f>
        <v/>
      </c>
      <c r="G12" s="30" t="str">
        <f>IF(F12="","",VLOOKUP(F12,AiSEG2拾い出し算出シート!$I$24:$M$68,2,FALSE))</f>
        <v/>
      </c>
      <c r="H12" s="31" t="str">
        <f>IF(F12="","",VLOOKUP(F12,AiSEG2拾い出し算出シート!$I$24:$M$68,3,FALSE))</f>
        <v/>
      </c>
      <c r="I12" s="32" t="str">
        <f>IF(F12="","",VLOOKUP(F12,AiSEG2拾い出し算出シート!$I$24:$M$68,4,FALSE))</f>
        <v/>
      </c>
      <c r="J12" s="36"/>
    </row>
    <row r="13" spans="1:15" x14ac:dyDescent="0.15">
      <c r="A13" s="194"/>
      <c r="B13" s="174" t="s">
        <v>281</v>
      </c>
      <c r="C13" s="175"/>
      <c r="D13" s="176"/>
      <c r="F13" s="29" t="str">
        <f>IF(OR($B$9="選択したモニタ類が合っていません。"),"",AiSEG2拾い出し算出シート!I10)</f>
        <v/>
      </c>
      <c r="G13" s="38" t="str">
        <f>IF(F13="","",VLOOKUP(F13,AiSEG2拾い出し算出シート!$I$24:$M$68,2,FALSE))</f>
        <v/>
      </c>
      <c r="H13" s="39" t="str">
        <f>IF(F13="","",VLOOKUP(F13,AiSEG2拾い出し算出シート!$I$24:$M$68,3,FALSE))</f>
        <v/>
      </c>
      <c r="I13" s="40" t="str">
        <f>IF(F13="","",VLOOKUP(F13,AiSEG2拾い出し算出シート!$I$24:$M$68,4,FALSE))</f>
        <v/>
      </c>
      <c r="J13" s="36" t="str">
        <f>IF(F13="","",IF(VLOOKUP(F13,AiSEG2拾い出し算出シート!$I$24:$M$68,5,FALSE)="","",VLOOKUP(F13,AiSEG2拾い出し算出シート!$I$24:$M$68,5,FALSE)))</f>
        <v/>
      </c>
    </row>
    <row r="14" spans="1:15" x14ac:dyDescent="0.15">
      <c r="A14" s="194"/>
      <c r="B14" s="182" t="s">
        <v>150</v>
      </c>
      <c r="C14" s="182"/>
      <c r="D14" s="182"/>
      <c r="F14" s="29" t="str">
        <f>IF(OR($B$9="選択したモニタ類が合っていません。"),"",AiSEG2拾い出し算出シート!I11)</f>
        <v/>
      </c>
      <c r="G14" s="38" t="str">
        <f>IF(F14="","",VLOOKUP(F14,AiSEG2拾い出し算出シート!$I$24:$M$68,2,FALSE))</f>
        <v/>
      </c>
      <c r="H14" s="39" t="str">
        <f>IF(F14="","",VLOOKUP(F14,AiSEG2拾い出し算出シート!$I$24:$M$68,3,FALSE))</f>
        <v/>
      </c>
      <c r="I14" s="40" t="str">
        <f>IF(F14="","",VLOOKUP(F14,AiSEG2拾い出し算出シート!$I$24:$M$68,4,FALSE))</f>
        <v/>
      </c>
      <c r="J14" s="36"/>
    </row>
    <row r="15" spans="1:15" ht="15" customHeight="1" thickBot="1" x14ac:dyDescent="0.2">
      <c r="A15" s="194"/>
      <c r="B15" s="22"/>
      <c r="C15" s="22"/>
      <c r="D15" s="22"/>
      <c r="F15" s="29" t="str">
        <f>IF(OR($B$9="選択したモニタ類が合っていません。"),"",AiSEG2拾い出し算出シート!I12)</f>
        <v/>
      </c>
      <c r="G15" s="33" t="str">
        <f>IF(F15="","",VLOOKUP(F15,AiSEG2拾い出し算出シート!$I$24:$M$68,2,FALSE))</f>
        <v/>
      </c>
      <c r="H15" s="34" t="str">
        <f>IF(F15="","",VLOOKUP(F15,AiSEG2拾い出し算出シート!$I$24:$M$68,3,FALSE))</f>
        <v/>
      </c>
      <c r="I15" s="35" t="str">
        <f>IF(F15="","",VLOOKUP(F15,AiSEG2拾い出し算出シート!$I$24:$M$68,4,FALSE))</f>
        <v/>
      </c>
    </row>
    <row r="16" spans="1:15" x14ac:dyDescent="0.15">
      <c r="A16" s="194"/>
      <c r="B16" s="191" t="s">
        <v>133</v>
      </c>
      <c r="C16" s="192"/>
      <c r="D16" s="193"/>
      <c r="F16" s="187" t="s">
        <v>61</v>
      </c>
      <c r="G16" s="187"/>
      <c r="H16" s="187"/>
      <c r="I16" s="187"/>
    </row>
    <row r="17" spans="1:9" ht="15" customHeight="1" x14ac:dyDescent="0.15">
      <c r="A17" s="194"/>
      <c r="B17" s="184" t="s">
        <v>182</v>
      </c>
      <c r="C17" s="185"/>
      <c r="D17" s="186"/>
      <c r="F17" s="173" t="s">
        <v>323</v>
      </c>
      <c r="G17" s="173"/>
      <c r="H17" s="173"/>
      <c r="I17" s="173"/>
    </row>
    <row r="18" spans="1:9" x14ac:dyDescent="0.15">
      <c r="A18" s="194"/>
      <c r="F18" s="173"/>
      <c r="G18" s="173"/>
      <c r="H18" s="173"/>
      <c r="I18" s="173"/>
    </row>
    <row r="19" spans="1:9" x14ac:dyDescent="0.15">
      <c r="A19" s="194"/>
      <c r="B19" s="174" t="s">
        <v>132</v>
      </c>
      <c r="C19" s="175"/>
      <c r="D19" s="176"/>
      <c r="F19" s="173" t="s">
        <v>139</v>
      </c>
      <c r="G19" s="173"/>
      <c r="H19" s="173"/>
      <c r="I19" s="173"/>
    </row>
    <row r="20" spans="1:9" ht="15" customHeight="1" x14ac:dyDescent="0.15">
      <c r="A20" s="194"/>
      <c r="B20" s="182" t="s">
        <v>1</v>
      </c>
      <c r="C20" s="182"/>
      <c r="D20" s="182"/>
      <c r="F20" s="173"/>
      <c r="G20" s="173"/>
      <c r="H20" s="173"/>
      <c r="I20" s="173"/>
    </row>
    <row r="21" spans="1:9" ht="15" customHeight="1" x14ac:dyDescent="0.15">
      <c r="A21" s="194"/>
      <c r="B21" s="22"/>
      <c r="C21" s="22"/>
      <c r="D21" s="22"/>
      <c r="F21" s="173" t="s">
        <v>109</v>
      </c>
      <c r="G21" s="173"/>
      <c r="H21" s="173"/>
      <c r="I21" s="173"/>
    </row>
    <row r="22" spans="1:9" ht="15" customHeight="1" x14ac:dyDescent="0.15">
      <c r="A22" s="194"/>
      <c r="B22" s="180" t="s">
        <v>124</v>
      </c>
      <c r="C22" s="180"/>
      <c r="D22" s="180"/>
      <c r="F22" s="173" t="s">
        <v>142</v>
      </c>
      <c r="G22" s="173"/>
      <c r="H22" s="173"/>
      <c r="I22" s="173"/>
    </row>
    <row r="23" spans="1:9" ht="15" customHeight="1" x14ac:dyDescent="0.15">
      <c r="A23" s="194"/>
      <c r="B23" s="181"/>
      <c r="C23" s="181"/>
      <c r="D23" s="181"/>
      <c r="F23" s="173"/>
      <c r="G23" s="173"/>
      <c r="H23" s="173"/>
      <c r="I23" s="173"/>
    </row>
    <row r="24" spans="1:9" x14ac:dyDescent="0.15">
      <c r="A24" s="194"/>
      <c r="B24" s="174" t="s">
        <v>282</v>
      </c>
      <c r="C24" s="175"/>
      <c r="D24" s="176"/>
      <c r="F24" s="173"/>
      <c r="G24" s="173"/>
      <c r="H24" s="173"/>
      <c r="I24" s="173"/>
    </row>
    <row r="25" spans="1:9" x14ac:dyDescent="0.15">
      <c r="A25" s="194"/>
      <c r="B25" s="171" t="s">
        <v>278</v>
      </c>
      <c r="C25" s="171"/>
      <c r="D25" s="171"/>
      <c r="F25" s="1" t="s">
        <v>158</v>
      </c>
    </row>
    <row r="26" spans="1:9" x14ac:dyDescent="0.15">
      <c r="A26" s="194"/>
      <c r="B26" s="1" t="str">
        <f>IF(AND(B20="一般的な分電盤",B25="選択不要"),"エネルギ－計測ユニットを選んでください。","")</f>
        <v/>
      </c>
      <c r="F26" s="1" t="s">
        <v>159</v>
      </c>
    </row>
    <row r="27" spans="1:9" x14ac:dyDescent="0.15">
      <c r="A27" s="194"/>
      <c r="B27" s="178" t="s">
        <v>135</v>
      </c>
      <c r="C27" s="178"/>
      <c r="D27" s="178"/>
    </row>
    <row r="28" spans="1:9" x14ac:dyDescent="0.15">
      <c r="A28" s="194"/>
      <c r="B28" s="188" t="s">
        <v>704</v>
      </c>
      <c r="C28" s="189"/>
      <c r="D28" s="190"/>
      <c r="E28" s="2" t="s">
        <v>444</v>
      </c>
    </row>
    <row r="29" spans="1:9" x14ac:dyDescent="0.15">
      <c r="A29" s="194"/>
      <c r="B29" s="168" t="str">
        <f>IF(AND(B25="AiSEG用エネルギー計測ユニット(増設アダプタセット)",B28="計測回路増設アダプタ"),"計測回路増設アダプタが設置できません。「なし」を選んでください。",IF(AND(B25="AiSEG用エネルギー計測ユニット",B28="選択不要"),"増設用アタフタの有り無しを決めてください。",""))</f>
        <v/>
      </c>
      <c r="E29" s="2"/>
    </row>
    <row r="30" spans="1:9" x14ac:dyDescent="0.15">
      <c r="A30" s="194"/>
      <c r="B30" s="174" t="s">
        <v>136</v>
      </c>
      <c r="C30" s="175"/>
      <c r="D30" s="176"/>
      <c r="E30" s="2"/>
    </row>
    <row r="31" spans="1:9" x14ac:dyDescent="0.15">
      <c r="A31" s="194"/>
      <c r="B31" s="171" t="s">
        <v>93</v>
      </c>
      <c r="C31" s="171"/>
      <c r="D31" s="171"/>
      <c r="E31" s="2"/>
    </row>
    <row r="32" spans="1:9" x14ac:dyDescent="0.15">
      <c r="A32" s="194"/>
      <c r="B32" s="22"/>
      <c r="C32" s="22"/>
      <c r="D32" s="22"/>
      <c r="E32" s="2"/>
    </row>
    <row r="33" spans="1:5" x14ac:dyDescent="0.15">
      <c r="A33" s="194"/>
      <c r="B33" s="177" t="s">
        <v>137</v>
      </c>
      <c r="C33" s="177"/>
      <c r="D33" s="177"/>
      <c r="E33" s="2"/>
    </row>
    <row r="34" spans="1:5" x14ac:dyDescent="0.15">
      <c r="A34" s="194"/>
      <c r="B34" s="171" t="s">
        <v>93</v>
      </c>
      <c r="C34" s="171"/>
      <c r="D34" s="171"/>
      <c r="E34" s="2"/>
    </row>
    <row r="35" spans="1:5" x14ac:dyDescent="0.15">
      <c r="B35" s="172">
        <v>0</v>
      </c>
      <c r="C35" s="172"/>
      <c r="D35" s="172"/>
      <c r="E35" s="2" t="s">
        <v>128</v>
      </c>
    </row>
    <row r="36" spans="1:5" x14ac:dyDescent="0.15">
      <c r="B36" s="22"/>
      <c r="C36" s="22"/>
      <c r="D36" s="22"/>
      <c r="E36" s="2"/>
    </row>
    <row r="37" spans="1:5" x14ac:dyDescent="0.15">
      <c r="B37" s="177" t="s">
        <v>138</v>
      </c>
      <c r="C37" s="177"/>
      <c r="D37" s="177"/>
      <c r="E37" s="2"/>
    </row>
    <row r="38" spans="1:5" x14ac:dyDescent="0.15">
      <c r="B38" s="171" t="s">
        <v>93</v>
      </c>
      <c r="C38" s="171"/>
      <c r="D38" s="171"/>
    </row>
    <row r="39" spans="1:5" x14ac:dyDescent="0.15">
      <c r="B39" s="172">
        <v>0</v>
      </c>
      <c r="C39" s="172"/>
      <c r="D39" s="172"/>
      <c r="E39" s="2" t="s">
        <v>121</v>
      </c>
    </row>
  </sheetData>
  <sheetProtection algorithmName="SHA-512" hashValue="m4g4sK7YuRx9Qm/dwJERVyhw9STNocEUngzrqxMI+utpcsPgyPgH4wUhF5/MUh3JESBb3mLKevUNHB73Krp4oA==" saltValue="AHjFjFOqlElWELLubswrVA==" spinCount="100000" sheet="1" selectLockedCells="1"/>
  <mergeCells count="35">
    <mergeCell ref="B28:D28"/>
    <mergeCell ref="B16:D16"/>
    <mergeCell ref="A4:A34"/>
    <mergeCell ref="B30:D30"/>
    <mergeCell ref="F17:I18"/>
    <mergeCell ref="B3:D3"/>
    <mergeCell ref="B13:D13"/>
    <mergeCell ref="B22:D23"/>
    <mergeCell ref="B14:D14"/>
    <mergeCell ref="F3:I3"/>
    <mergeCell ref="B4:D4"/>
    <mergeCell ref="B5:D5"/>
    <mergeCell ref="B20:D20"/>
    <mergeCell ref="B7:D7"/>
    <mergeCell ref="B17:D17"/>
    <mergeCell ref="F16:I16"/>
    <mergeCell ref="B11:D11"/>
    <mergeCell ref="B8:D8"/>
    <mergeCell ref="B10:D10"/>
    <mergeCell ref="L1:O1"/>
    <mergeCell ref="A2:O2"/>
    <mergeCell ref="B38:D38"/>
    <mergeCell ref="B39:D39"/>
    <mergeCell ref="B35:D35"/>
    <mergeCell ref="F22:I24"/>
    <mergeCell ref="B19:D19"/>
    <mergeCell ref="B33:D33"/>
    <mergeCell ref="F19:I20"/>
    <mergeCell ref="F21:I21"/>
    <mergeCell ref="B37:D37"/>
    <mergeCell ref="B34:D34"/>
    <mergeCell ref="B24:D24"/>
    <mergeCell ref="B25:D25"/>
    <mergeCell ref="B27:D27"/>
    <mergeCell ref="B31:D31"/>
  </mergeCells>
  <phoneticPr fontId="1"/>
  <conditionalFormatting sqref="B29">
    <cfRule type="expression" dxfId="2" priority="3">
      <formula>$B$29&lt;&gt;""</formula>
    </cfRule>
    <cfRule type="expression" dxfId="1" priority="1">
      <formula>$B$29=増設用アタフタの有り無しを決めてください。</formula>
    </cfRule>
  </conditionalFormatting>
  <conditionalFormatting sqref="B26">
    <cfRule type="expression" dxfId="0" priority="2">
      <formula>$B$26&lt;&gt;""</formula>
    </cfRule>
  </conditionalFormatting>
  <dataValidations count="9">
    <dataValidation type="list" allowBlank="1" showInputMessage="1" showErrorMessage="1" sqref="B20:D20">
      <formula1>分電盤</formula1>
    </dataValidation>
    <dataValidation type="list" allowBlank="1" showInputMessage="1" showErrorMessage="1" sqref="B11:D11">
      <formula1>出力制御</formula1>
    </dataValidation>
    <dataValidation type="list" allowBlank="1" showInputMessage="1" showErrorMessage="1" sqref="B14:D14">
      <formula1>AISEG</formula1>
    </dataValidation>
    <dataValidation type="list" allowBlank="1" showInputMessage="1" showErrorMessage="1" sqref="B31:D31">
      <formula1>CTセット</formula1>
    </dataValidation>
    <dataValidation type="list" allowBlank="1" showInputMessage="1" showErrorMessage="1" sqref="B34:D34">
      <formula1>主幹用延長</formula1>
    </dataValidation>
    <dataValidation type="list" allowBlank="1" showInputMessage="1" showErrorMessage="1" sqref="B38:D38">
      <formula1>分岐用延長</formula1>
    </dataValidation>
    <dataValidation type="list" allowBlank="1" showInputMessage="1" showErrorMessage="1" sqref="B35:D35">
      <formula1>本数</formula1>
    </dataValidation>
    <dataValidation type="list" allowBlank="1" showInputMessage="1" showErrorMessage="1" sqref="B25:D25">
      <formula1>エネルギー計測ユニット</formula1>
    </dataValidation>
    <dataValidation type="list" allowBlank="1" showInputMessage="1" sqref="B28:D28">
      <formula1>AISEG用エネルギー計測ユニット</formula1>
    </dataValidation>
  </dataValidations>
  <pageMargins left="0.7" right="0.7" top="0.75" bottom="0.75" header="0.3" footer="0.3"/>
  <pageSetup paperSize="9" scale="59"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INDIRECT(AiSEG2拾い出し算出シート!$C$2)</xm:f>
          </x14:formula1>
          <xm:sqref>B8:D8</xm:sqref>
        </x14:dataValidation>
        <x14:dataValidation type="list" allowBlank="1" showInputMessage="1" showErrorMessage="1">
          <x14:formula1>
            <xm:f>AiSEG2拾い出し算出シート!$A$2:$A$41</xm:f>
          </x14:formula1>
          <xm:sqref>B5:D5</xm:sqref>
        </x14:dataValidation>
        <x14:dataValidation type="list" allowBlank="1" showInputMessage="1" showErrorMessage="1">
          <x14:formula1>
            <xm:f>INDIRECT(AiSEG2拾い出し算出シート!C52)</xm:f>
          </x14:formula1>
          <xm:sqref>B17:D17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16"/>
  <sheetViews>
    <sheetView zoomScale="80" zoomScaleNormal="80" workbookViewId="0">
      <selection activeCell="F26" sqref="F26"/>
    </sheetView>
  </sheetViews>
  <sheetFormatPr defaultColWidth="8.875" defaultRowHeight="15.75" x14ac:dyDescent="0.15"/>
  <cols>
    <col min="1" max="1" width="37.125" style="4" customWidth="1"/>
    <col min="2" max="2" width="31.875" style="4" customWidth="1"/>
    <col min="3" max="3" width="26.25" style="4" customWidth="1"/>
    <col min="4" max="5" width="7.875" style="4" bestFit="1" customWidth="1"/>
    <col min="6" max="6" width="31.875" style="4" bestFit="1" customWidth="1"/>
    <col min="7" max="7" width="41.25" style="4" bestFit="1" customWidth="1"/>
    <col min="8" max="8" width="5.5" style="4" customWidth="1"/>
    <col min="9" max="9" width="33" style="3" customWidth="1"/>
    <col min="10" max="10" width="6.125" style="3" customWidth="1"/>
    <col min="11" max="11" width="32.375" style="3" customWidth="1"/>
    <col min="12" max="12" width="5.875" style="3" bestFit="1" customWidth="1"/>
    <col min="13" max="13" width="71.625" style="3" customWidth="1"/>
    <col min="14" max="16384" width="8.875" style="4"/>
  </cols>
  <sheetData>
    <row r="1" spans="1:13" x14ac:dyDescent="0.15">
      <c r="A1" s="4" t="s">
        <v>0</v>
      </c>
      <c r="B1" s="4" t="s">
        <v>38</v>
      </c>
      <c r="C1" s="4" t="s">
        <v>104</v>
      </c>
      <c r="D1" s="4" t="s">
        <v>39</v>
      </c>
      <c r="E1" s="4" t="s">
        <v>40</v>
      </c>
      <c r="F1" s="10" t="s">
        <v>41</v>
      </c>
    </row>
    <row r="2" spans="1:13" x14ac:dyDescent="0.15">
      <c r="A2" s="4" t="s">
        <v>321</v>
      </c>
      <c r="B2" s="4" t="s">
        <v>580</v>
      </c>
      <c r="C2" s="4" t="str">
        <f>VLOOKUP(AiSEG2及び関連部材の見積作成!B5,A2:B42,2,FALSE)</f>
        <v>Q.READY</v>
      </c>
      <c r="D2" s="4">
        <v>1</v>
      </c>
      <c r="E2" s="4">
        <v>1</v>
      </c>
      <c r="F2" s="7">
        <f>VLOOKUP(AiSEG2及び関連部材の見積作成!B5,A2:D42,4,FALSE)</f>
        <v>5</v>
      </c>
      <c r="G2" s="4" t="str">
        <f>AiSEG2及び関連部材の見積作成!B5</f>
        <v>Q.READY</v>
      </c>
      <c r="H2" s="4">
        <v>1</v>
      </c>
      <c r="I2" s="4" t="str">
        <f t="shared" ref="I2:I7" si="0">IFERROR(VLOOKUP(H2,$J$2:$K$22,2,FALSE),"")</f>
        <v>AiSEG2(7型モニター機能付)</v>
      </c>
      <c r="J2" s="4" t="str">
        <f>IF(K2&lt;&gt;"",1,"")</f>
        <v/>
      </c>
      <c r="K2" s="4" t="str">
        <f>IF(AND(F10&lt;=33,F10&gt;=30),"電力検出ユニット4",IF(AND(F10&lt;=14,F10&gt;=9),"電力検出ユニット3",IF(OR(F10=1,F10=2,F10=4),"カラーモニタセット",IF(OR(F10=3,F10=5),"カラーモニタセット(タブレット)",""))))</f>
        <v/>
      </c>
      <c r="L2" s="4" t="s">
        <v>436</v>
      </c>
      <c r="M2" s="4"/>
    </row>
    <row r="3" spans="1:13" x14ac:dyDescent="0.15">
      <c r="A3" s="4" t="s">
        <v>17</v>
      </c>
      <c r="B3" s="4" t="str">
        <f>SUBSTITUTE(A3,"-","")</f>
        <v>HQJPK30A2</v>
      </c>
      <c r="D3" s="4">
        <v>2</v>
      </c>
      <c r="E3" s="4">
        <v>2</v>
      </c>
      <c r="F3" s="7">
        <f>VLOOKUP(AiSEG2及び関連部材の見積作成!B11,A45:D46,4,FALSE)</f>
        <v>2</v>
      </c>
      <c r="G3" s="4" t="str">
        <f>AiSEG2及び関連部材の見積作成!B11</f>
        <v>出力制御を行わない</v>
      </c>
      <c r="H3" s="4">
        <v>2</v>
      </c>
      <c r="I3" s="4" t="str">
        <f>IFERROR(VLOOKUP(H3,$J$2:$K$22,2,FALSE),"")</f>
        <v>AiSEG用エネルギー計測ユニット(増設アダプタセット)</v>
      </c>
      <c r="J3" s="4" t="str">
        <f>IF(K3&lt;&gt;"",MAX($J$2:J2)+1,"")</f>
        <v/>
      </c>
      <c r="K3" s="4" t="str">
        <f>IF(OR(F10=31,F10=33),"カラーモニタ4",IF(OR(F10=10,F10=12,F10=14),"カラーモニタ3",""))</f>
        <v/>
      </c>
      <c r="L3" s="4" t="s">
        <v>436</v>
      </c>
      <c r="M3" s="4"/>
    </row>
    <row r="4" spans="1:13" x14ac:dyDescent="0.15">
      <c r="A4" s="4" t="s">
        <v>18</v>
      </c>
      <c r="B4" s="4" t="str">
        <f t="shared" ref="B4:B12" si="1">SUBSTITUTE(A4,"-","")</f>
        <v>HQJPK40A2</v>
      </c>
      <c r="D4" s="4">
        <v>2</v>
      </c>
      <c r="E4" s="4">
        <v>2</v>
      </c>
      <c r="F4" s="7">
        <f>VLOOKUP(AiSEG2及び関連部材の見積作成!B20,A48:D50,4,FALSE)</f>
        <v>3</v>
      </c>
      <c r="G4" s="4" t="str">
        <f>AiSEG2及び関連部材の見積作成!B20</f>
        <v>一般的な分電盤</v>
      </c>
      <c r="H4" s="4">
        <v>3</v>
      </c>
      <c r="I4" s="4" t="str">
        <f>IFERROR(VLOOKUP(H4,$J$2:$K$22,2,FALSE),"")</f>
        <v>室内リモコン</v>
      </c>
      <c r="J4" s="4" t="str">
        <f>IF(K4&lt;&gt;"",MAX($J$2:J3)+1,"")</f>
        <v/>
      </c>
      <c r="K4" s="4" t="str">
        <f>IF(F9=5,"モニタリングユニット",IF(F9=6,"モニタリングユニット2B(ハイブリッド専用)",""))</f>
        <v/>
      </c>
      <c r="L4" s="4" t="s">
        <v>592</v>
      </c>
      <c r="M4" s="4"/>
    </row>
    <row r="5" spans="1:13" x14ac:dyDescent="0.15">
      <c r="A5" s="4" t="s">
        <v>19</v>
      </c>
      <c r="B5" s="4" t="str">
        <f t="shared" si="1"/>
        <v>HQJPK55A2</v>
      </c>
      <c r="D5" s="4">
        <v>2</v>
      </c>
      <c r="E5" s="4">
        <v>2</v>
      </c>
      <c r="F5" s="7">
        <f>VLOOKUP(AiSEG2及び関連部材の見積作成!B14,A52:D53,4,FALSE)</f>
        <v>1</v>
      </c>
      <c r="G5" s="4" t="str">
        <f>AiSEG2及び関連部材の見積作成!B14</f>
        <v>7型モニター機能付</v>
      </c>
      <c r="H5" s="4">
        <v>4</v>
      </c>
      <c r="I5" s="4" t="str">
        <f t="shared" si="0"/>
        <v/>
      </c>
      <c r="J5" s="4" t="str">
        <f>IF(K5&lt;&gt;"",MAX($J$2:J4)+1,"")</f>
        <v/>
      </c>
      <c r="K5" s="4" t="str">
        <f>IF(AND(F9=5,AiSEG2及び関連部材の見積作成!B11="出力制御を行う"),"HEMS連携計測ユニット","")</f>
        <v/>
      </c>
      <c r="L5" s="4" t="s">
        <v>591</v>
      </c>
      <c r="M5" s="4"/>
    </row>
    <row r="6" spans="1:13" x14ac:dyDescent="0.15">
      <c r="A6" s="4" t="s">
        <v>647</v>
      </c>
      <c r="B6" s="4" t="str">
        <f t="shared" si="1"/>
        <v>HQJPKA303</v>
      </c>
      <c r="D6" s="4">
        <v>2</v>
      </c>
      <c r="E6" s="4">
        <v>8</v>
      </c>
      <c r="F6" s="8"/>
      <c r="G6" s="4" t="s">
        <v>88</v>
      </c>
      <c r="H6" s="4">
        <v>5</v>
      </c>
      <c r="I6" s="4" t="str">
        <f t="shared" si="0"/>
        <v/>
      </c>
      <c r="J6" s="4" t="str">
        <f>IF(K6&lt;&gt;"",MAX($J$2:J5)+1,"")</f>
        <v/>
      </c>
      <c r="K6" s="15" t="str">
        <f>IF(F9=10,"表示モニタ","")</f>
        <v/>
      </c>
      <c r="L6" s="4" t="s">
        <v>668</v>
      </c>
    </row>
    <row r="7" spans="1:13" x14ac:dyDescent="0.15">
      <c r="A7" s="4" t="s">
        <v>648</v>
      </c>
      <c r="B7" s="4" t="str">
        <f t="shared" si="1"/>
        <v>HQJPKA403</v>
      </c>
      <c r="D7" s="4">
        <v>2</v>
      </c>
      <c r="E7" s="4">
        <v>8</v>
      </c>
      <c r="F7" s="10" t="str">
        <f>F3&amp;F4&amp;F5</f>
        <v>231</v>
      </c>
      <c r="G7" s="9"/>
      <c r="H7" s="4">
        <v>6</v>
      </c>
      <c r="I7" s="4" t="str">
        <f t="shared" si="0"/>
        <v/>
      </c>
      <c r="J7" s="4">
        <f>IF(K7&lt;&gt;"",MAX($J$2:J6)+1,"")</f>
        <v>1</v>
      </c>
      <c r="K7" s="4" t="str">
        <f>IF(G5="7型モニター機能付",I25,I26)</f>
        <v>AiSEG2(7型モニター機能付)</v>
      </c>
      <c r="L7" s="4" t="s">
        <v>437</v>
      </c>
      <c r="M7" s="4"/>
    </row>
    <row r="8" spans="1:13" x14ac:dyDescent="0.15">
      <c r="A8" s="4" t="s">
        <v>649</v>
      </c>
      <c r="B8" s="4" t="str">
        <f t="shared" si="1"/>
        <v>HQJPKA553</v>
      </c>
      <c r="D8" s="4">
        <v>2</v>
      </c>
      <c r="E8" s="4">
        <v>8</v>
      </c>
      <c r="F8" s="10" t="s">
        <v>42</v>
      </c>
      <c r="H8" s="4">
        <v>7</v>
      </c>
      <c r="I8" s="4" t="str">
        <f t="shared" ref="I8:I12" si="2">IFERROR(VLOOKUP(H8,$J$2:$K$22,2,FALSE),"")</f>
        <v/>
      </c>
      <c r="J8" s="4" t="str">
        <f>IF(K8&lt;&gt;"",MAX($J$2:J7)+1,"")</f>
        <v/>
      </c>
      <c r="K8" s="4" t="str">
        <f>IF(AND(K7=I25,F13=1),I27,"")</f>
        <v/>
      </c>
      <c r="L8" s="4" t="s">
        <v>438</v>
      </c>
      <c r="M8" s="4"/>
    </row>
    <row r="9" spans="1:13" x14ac:dyDescent="0.15">
      <c r="A9" s="4" t="s">
        <v>692</v>
      </c>
      <c r="B9" s="4" t="str">
        <f t="shared" si="1"/>
        <v>HQJPKA305</v>
      </c>
      <c r="D9" s="4">
        <v>2</v>
      </c>
      <c r="E9" s="4">
        <v>8</v>
      </c>
      <c r="F9" s="4">
        <f>VLOOKUP(AiSEG2及び関連部材の見積作成!B5,AiSEG2拾い出し算出シート!A2:E44,5,FALSE)</f>
        <v>14</v>
      </c>
      <c r="G9" s="4" t="s">
        <v>53</v>
      </c>
      <c r="H9" s="4">
        <v>8</v>
      </c>
      <c r="I9" s="4" t="str">
        <f t="shared" si="2"/>
        <v/>
      </c>
      <c r="J9" s="4" t="str">
        <f>IF(K9&lt;&gt;"",MAX($J$2:J8)+1,"")</f>
        <v/>
      </c>
      <c r="K9" s="9" t="str">
        <f>IF(F2=1,I31,"")</f>
        <v/>
      </c>
      <c r="L9" s="4" t="s">
        <v>439</v>
      </c>
      <c r="M9" s="9"/>
    </row>
    <row r="10" spans="1:13" x14ac:dyDescent="0.15">
      <c r="A10" s="4" t="s">
        <v>693</v>
      </c>
      <c r="B10" s="4" t="str">
        <f t="shared" si="1"/>
        <v>HQJPKA405</v>
      </c>
      <c r="D10" s="4">
        <v>2</v>
      </c>
      <c r="E10" s="4">
        <v>8</v>
      </c>
      <c r="F10" s="4">
        <f>VLOOKUP(AiSEG2及び関連部材の見積作成!B8,AiSEG2拾い出し算出シート!A59:D81,4,FALSE)</f>
        <v>22</v>
      </c>
      <c r="G10" s="4" t="s">
        <v>54</v>
      </c>
      <c r="H10" s="4">
        <v>9</v>
      </c>
      <c r="I10" s="4" t="str">
        <f t="shared" si="2"/>
        <v/>
      </c>
      <c r="J10" s="4">
        <f>IF(K10&lt;&gt;"",MAX($J$2:J9)+1,"")</f>
        <v>2</v>
      </c>
      <c r="K10" s="4" t="str">
        <f>IF(AND(F2=2,F3=1,F4=2),I30,IF(OR(AND(F4=3),AND(F3=1,OR(AND(F4=2,F9=8),F4=3))),AiSEG2及び関連部材の見積作成!B25,""))</f>
        <v>AiSEG用エネルギー計測ユニット(増設アダプタセット)</v>
      </c>
      <c r="L10" s="4" t="s">
        <v>440</v>
      </c>
      <c r="M10" s="4"/>
    </row>
    <row r="11" spans="1:13" x14ac:dyDescent="0.15">
      <c r="A11" s="4" t="s">
        <v>694</v>
      </c>
      <c r="B11" s="4" t="str">
        <f t="shared" si="1"/>
        <v>HQJPKA555</v>
      </c>
      <c r="D11" s="4">
        <v>2</v>
      </c>
      <c r="E11" s="4">
        <v>8</v>
      </c>
      <c r="F11" s="4" t="str">
        <f>IF(OR(AND(F9=3,F10=3)),1,IF(AND(F9=3,F10=2),2,IF(AND(F9=4,F10=2),3,"")))</f>
        <v/>
      </c>
      <c r="G11" s="4" t="s">
        <v>89</v>
      </c>
      <c r="H11" s="4">
        <v>10</v>
      </c>
      <c r="I11" s="4" t="str">
        <f t="shared" si="2"/>
        <v/>
      </c>
      <c r="J11" s="4">
        <f>IF(K11&lt;&gt;"",MAX($J$2:J10)+1,"")</f>
        <v>3</v>
      </c>
      <c r="K11" s="15" t="str">
        <f>IF(OR(F10=2,F10=3,F10=13,F10=14),I43,IF(OR(F10=11,F10=12,F10=32,F10=33),I42,IF(F10=22,I41,"")))</f>
        <v>室内リモコン</v>
      </c>
      <c r="L11" s="4" t="s">
        <v>441</v>
      </c>
      <c r="M11" s="4"/>
    </row>
    <row r="12" spans="1:13" x14ac:dyDescent="0.15">
      <c r="A12" s="4" t="s">
        <v>20</v>
      </c>
      <c r="B12" s="4" t="str">
        <f t="shared" si="1"/>
        <v>HQJPM55A2</v>
      </c>
      <c r="D12" s="4">
        <v>2</v>
      </c>
      <c r="E12" s="4">
        <v>3</v>
      </c>
      <c r="F12" s="10" t="s">
        <v>148</v>
      </c>
      <c r="H12" s="4">
        <v>11</v>
      </c>
      <c r="I12" s="4" t="str">
        <f t="shared" si="2"/>
        <v/>
      </c>
      <c r="J12" s="4" t="str">
        <f>IF(K12&lt;&gt;"",MAX($J$2:J11)+1,"")</f>
        <v/>
      </c>
      <c r="K12" s="4" t="str">
        <f>IF(OR(F10=2,F10=3,F10=13,F10=14),I44,IF(OR(F10=4,F10=5),I46,""))</f>
        <v/>
      </c>
      <c r="L12" s="4" t="s">
        <v>443</v>
      </c>
      <c r="M12" s="4"/>
    </row>
    <row r="13" spans="1:13" x14ac:dyDescent="0.15">
      <c r="A13" s="4" t="s">
        <v>624</v>
      </c>
      <c r="B13" s="4" t="str">
        <f t="shared" ref="B13" si="3">SUBSTITUTE(A13,"-","")</f>
        <v>HQJPMA553</v>
      </c>
      <c r="D13" s="4">
        <v>2</v>
      </c>
      <c r="E13" s="4">
        <v>8</v>
      </c>
      <c r="F13" s="10">
        <f>IF(C55="必要",1,0)</f>
        <v>0</v>
      </c>
      <c r="J13" s="4" t="str">
        <f>IF(K13&lt;&gt;"",MAX($J$2:J12)+1,"")</f>
        <v/>
      </c>
      <c r="K13" s="4" t="str">
        <f>IF(OR(F10=2,F10=3),I45,"")</f>
        <v/>
      </c>
      <c r="L13" s="4" t="s">
        <v>442</v>
      </c>
    </row>
    <row r="14" spans="1:13" x14ac:dyDescent="0.15">
      <c r="A14" s="4" t="s">
        <v>679</v>
      </c>
      <c r="B14" s="4" t="str">
        <f t="shared" ref="B14" si="4">SUBSTITUTE(A14,"-","")</f>
        <v>HQJPMA554</v>
      </c>
      <c r="D14" s="4">
        <v>2</v>
      </c>
      <c r="E14" s="4">
        <v>15</v>
      </c>
      <c r="J14" s="4" t="str">
        <f>IF(K14&lt;&gt;"",MAX($J$2:J13)+1,"")</f>
        <v/>
      </c>
      <c r="K14" s="15" t="str">
        <f>IF(OR(AiSEG2及び関連部材の見積作成!B28="なし",AiSEG2及び関連部材の見積作成!B28="選択不要"),"",AiSEG2及び関連部材の見積作成!B28)</f>
        <v/>
      </c>
      <c r="L14" s="4" t="s">
        <v>445</v>
      </c>
    </row>
    <row r="15" spans="1:13" x14ac:dyDescent="0.15">
      <c r="A15" s="4" t="s">
        <v>21</v>
      </c>
      <c r="B15" s="4" t="str">
        <f t="shared" ref="B15:B20" si="5">SUBSTITUTE(A15,"-","")</f>
        <v>HQJPR44A2</v>
      </c>
      <c r="D15" s="4">
        <v>2</v>
      </c>
      <c r="E15" s="4">
        <v>4</v>
      </c>
      <c r="J15" s="4" t="str">
        <f>IF(K15&lt;&gt;"",MAX($J$2:J14)+1,"")</f>
        <v/>
      </c>
      <c r="K15" s="3" t="str">
        <f>IF(C92="なし","",C92)</f>
        <v/>
      </c>
      <c r="L15" s="4" t="s">
        <v>446</v>
      </c>
    </row>
    <row r="16" spans="1:13" x14ac:dyDescent="0.15">
      <c r="A16" s="4" t="s">
        <v>22</v>
      </c>
      <c r="B16" s="4" t="str">
        <f t="shared" si="5"/>
        <v>HQJPR55A2</v>
      </c>
      <c r="D16" s="4">
        <v>2</v>
      </c>
      <c r="E16" s="4">
        <v>4</v>
      </c>
      <c r="F16" s="4" t="s">
        <v>90</v>
      </c>
      <c r="J16" s="4" t="str">
        <f>IF(K16&lt;&gt;"",MAX($J$2:J15)+1,"")</f>
        <v/>
      </c>
      <c r="K16" s="3" t="str">
        <f>IF(C93="なし","",C93)</f>
        <v/>
      </c>
      <c r="L16" s="4" t="s">
        <v>447</v>
      </c>
    </row>
    <row r="17" spans="1:13" x14ac:dyDescent="0.15">
      <c r="A17" s="4" t="s">
        <v>650</v>
      </c>
      <c r="B17" s="4" t="str">
        <f t="shared" si="5"/>
        <v>HQJPRA443</v>
      </c>
      <c r="D17" s="4">
        <v>2</v>
      </c>
      <c r="E17" s="4">
        <v>8</v>
      </c>
      <c r="F17" s="4" t="s">
        <v>91</v>
      </c>
      <c r="J17" s="4" t="str">
        <f>IF(K17&lt;&gt;"",MAX($J$2:J16)+1,"")</f>
        <v/>
      </c>
      <c r="K17" s="89" t="str">
        <f>IF(C94="なし","",C94)</f>
        <v/>
      </c>
      <c r="L17" s="4" t="s">
        <v>448</v>
      </c>
    </row>
    <row r="18" spans="1:13" x14ac:dyDescent="0.15">
      <c r="A18" s="4" t="s">
        <v>651</v>
      </c>
      <c r="B18" s="4" t="str">
        <f t="shared" si="5"/>
        <v>HQJPRA553</v>
      </c>
      <c r="D18" s="4">
        <v>2</v>
      </c>
      <c r="E18" s="4">
        <v>8</v>
      </c>
      <c r="J18" s="4" t="str">
        <f>IF(K18&lt;&gt;"",MAX($J$2:J17)+1,"")</f>
        <v/>
      </c>
      <c r="L18" s="4" t="s">
        <v>448</v>
      </c>
    </row>
    <row r="19" spans="1:13" x14ac:dyDescent="0.15">
      <c r="A19" s="4" t="s">
        <v>680</v>
      </c>
      <c r="B19" s="4" t="str">
        <f t="shared" si="5"/>
        <v>HQJPRA444</v>
      </c>
      <c r="D19" s="4">
        <v>2</v>
      </c>
      <c r="E19" s="4">
        <v>8</v>
      </c>
      <c r="J19" s="4" t="str">
        <f>IF(K20&lt;&gt;"",MAX($J$2:J18)+1,"")</f>
        <v/>
      </c>
      <c r="L19" s="4"/>
    </row>
    <row r="20" spans="1:13" x14ac:dyDescent="0.15">
      <c r="A20" s="4" t="s">
        <v>681</v>
      </c>
      <c r="B20" s="4" t="str">
        <f t="shared" si="5"/>
        <v>HQJPRA554</v>
      </c>
      <c r="D20" s="4">
        <v>2</v>
      </c>
      <c r="E20" s="4">
        <v>8</v>
      </c>
    </row>
    <row r="21" spans="1:13" x14ac:dyDescent="0.15">
      <c r="A21" s="4" t="s">
        <v>695</v>
      </c>
      <c r="B21" s="4" t="str">
        <f t="shared" ref="B21:B22" si="6">SUBSTITUTE(A21,"-","")</f>
        <v>HQJPRA445</v>
      </c>
      <c r="D21" s="4">
        <v>2</v>
      </c>
      <c r="E21" s="4">
        <v>8</v>
      </c>
    </row>
    <row r="22" spans="1:13" x14ac:dyDescent="0.15">
      <c r="A22" s="4" t="s">
        <v>696</v>
      </c>
      <c r="B22" s="4" t="str">
        <f t="shared" si="6"/>
        <v>HQJPRA555</v>
      </c>
      <c r="D22" s="4">
        <v>2</v>
      </c>
      <c r="E22" s="4">
        <v>8</v>
      </c>
    </row>
    <row r="23" spans="1:13" x14ac:dyDescent="0.15">
      <c r="A23" s="4" t="s">
        <v>433</v>
      </c>
      <c r="B23" s="4" t="str">
        <f t="shared" ref="B23:B42" si="7">SUBSTITUTE(A23,"-","")</f>
        <v>KP55S3HY3A</v>
      </c>
      <c r="D23" s="4">
        <v>5</v>
      </c>
      <c r="E23" s="4">
        <v>6</v>
      </c>
    </row>
    <row r="24" spans="1:13" x14ac:dyDescent="0.15">
      <c r="A24" s="4" t="s">
        <v>10</v>
      </c>
      <c r="B24" s="4" t="str">
        <f t="shared" si="7"/>
        <v>KP30K3HQ</v>
      </c>
      <c r="D24" s="4">
        <v>3</v>
      </c>
      <c r="E24" s="4">
        <v>5</v>
      </c>
      <c r="I24" s="6" t="s">
        <v>43</v>
      </c>
      <c r="J24" s="6" t="s">
        <v>55</v>
      </c>
      <c r="K24" s="6" t="s">
        <v>44</v>
      </c>
      <c r="L24" s="6" t="s">
        <v>45</v>
      </c>
      <c r="M24" s="6" t="s">
        <v>52</v>
      </c>
    </row>
    <row r="25" spans="1:13" x14ac:dyDescent="0.15">
      <c r="A25" s="4" t="s">
        <v>11</v>
      </c>
      <c r="B25" s="4" t="str">
        <f t="shared" si="7"/>
        <v>KP40K3HQ</v>
      </c>
      <c r="D25" s="4">
        <v>3</v>
      </c>
      <c r="E25" s="4">
        <v>5</v>
      </c>
      <c r="I25" s="6" t="s">
        <v>276</v>
      </c>
      <c r="J25" s="6" t="s">
        <v>59</v>
      </c>
      <c r="K25" s="6" t="s">
        <v>3</v>
      </c>
      <c r="L25" s="6">
        <v>1</v>
      </c>
      <c r="M25" s="6"/>
    </row>
    <row r="26" spans="1:13" x14ac:dyDescent="0.15">
      <c r="A26" s="4" t="s">
        <v>12</v>
      </c>
      <c r="B26" s="4" t="str">
        <f t="shared" si="7"/>
        <v>KP55K3HQ</v>
      </c>
      <c r="D26" s="4">
        <v>3</v>
      </c>
      <c r="E26" s="4">
        <v>5</v>
      </c>
      <c r="I26" s="6" t="s">
        <v>277</v>
      </c>
      <c r="J26" s="6" t="s">
        <v>59</v>
      </c>
      <c r="K26" s="6" t="s">
        <v>4</v>
      </c>
      <c r="L26" s="6">
        <v>1</v>
      </c>
      <c r="M26" s="6"/>
    </row>
    <row r="27" spans="1:13" x14ac:dyDescent="0.15">
      <c r="A27" s="4" t="s">
        <v>434</v>
      </c>
      <c r="B27" s="4" t="str">
        <f t="shared" si="7"/>
        <v>KPKA40HQ</v>
      </c>
      <c r="D27" s="4">
        <v>3</v>
      </c>
      <c r="E27" s="4">
        <v>5</v>
      </c>
      <c r="I27" s="6" t="s">
        <v>149</v>
      </c>
      <c r="J27" s="6" t="s">
        <v>140</v>
      </c>
      <c r="K27" s="6" t="s">
        <v>141</v>
      </c>
      <c r="L27" s="6">
        <v>1</v>
      </c>
      <c r="M27" s="6"/>
    </row>
    <row r="28" spans="1:13" ht="31.5" x14ac:dyDescent="0.15">
      <c r="A28" s="4" t="s">
        <v>435</v>
      </c>
      <c r="B28" s="4" t="str">
        <f t="shared" si="7"/>
        <v>KPKA55HQ</v>
      </c>
      <c r="D28" s="4">
        <v>3</v>
      </c>
      <c r="E28" s="4">
        <v>5</v>
      </c>
      <c r="I28" s="11" t="s">
        <v>278</v>
      </c>
      <c r="J28" s="6" t="s">
        <v>60</v>
      </c>
      <c r="K28" s="6" t="s">
        <v>36</v>
      </c>
      <c r="L28" s="6">
        <v>1</v>
      </c>
      <c r="M28" s="77" t="str">
        <f>IF(LEFT(AiSEG2拾い出し算出シート!C2,4)="HQJP","←主幹と最大38回路の分岐計測が可能。分岐計測が8回路を超える場合は、
オプションのケーブルとCTが必要です。出力制御は30kW未満、7台までです。","←主幹と最大38回路の分岐計測が可能。分岐計測が8回路を超える場合は、
オプションのケーブルとCTが必要です。")</f>
        <v>←主幹と最大38回路の分岐計測が可能。分岐計測が8回路を超える場合は、
オプションのケーブルとCTが必要です。</v>
      </c>
    </row>
    <row r="29" spans="1:13" ht="47.25" x14ac:dyDescent="0.15">
      <c r="A29" s="4" t="s">
        <v>653</v>
      </c>
      <c r="B29" s="4" t="str">
        <f t="shared" ref="B29:B30" si="8">SUBSTITUTE(A29,"-","")</f>
        <v>KPKA40</v>
      </c>
      <c r="D29" s="4">
        <v>3</v>
      </c>
      <c r="E29" s="4">
        <v>5</v>
      </c>
      <c r="I29" s="6" t="s">
        <v>279</v>
      </c>
      <c r="J29" s="6" t="s">
        <v>60</v>
      </c>
      <c r="K29" s="6" t="s">
        <v>46</v>
      </c>
      <c r="L29" s="6">
        <v>1</v>
      </c>
      <c r="M29" s="77" t="str">
        <f>IF(LEFT(AiSEG2拾い出し算出シート!C2,4)="HQJP","←主幹と最大8回路の分岐計測が可能。分岐計測が1回路を超える場合は、
オプションのケーブルとCTが必要です。
出力制御は30kW未満、7台までです。","←主幹と最大8回路の分岐計測が可能。分岐計測が1回路を超える場合は、
オプションのケーブルとCTが必要です。")</f>
        <v>←主幹と最大8回路の分岐計測が可能。分岐計測が1回路を超える場合は、
オプションのケーブルとCTが必要です。</v>
      </c>
    </row>
    <row r="30" spans="1:13" x14ac:dyDescent="0.15">
      <c r="A30" s="4" t="s">
        <v>654</v>
      </c>
      <c r="B30" s="4" t="str">
        <f t="shared" si="8"/>
        <v>KPKA55</v>
      </c>
      <c r="D30" s="4">
        <v>3</v>
      </c>
      <c r="E30" s="4">
        <v>5</v>
      </c>
      <c r="I30" s="6" t="s">
        <v>33</v>
      </c>
      <c r="J30" s="6" t="s">
        <v>59</v>
      </c>
      <c r="K30" s="6" t="s">
        <v>143</v>
      </c>
      <c r="L30" s="6">
        <v>1</v>
      </c>
      <c r="M30" s="12" t="s">
        <v>700</v>
      </c>
    </row>
    <row r="31" spans="1:13" x14ac:dyDescent="0.15">
      <c r="A31" s="4" t="s">
        <v>13</v>
      </c>
      <c r="B31" s="4" t="str">
        <f t="shared" si="7"/>
        <v>KP44M2J4HQ</v>
      </c>
      <c r="D31" s="4">
        <v>3</v>
      </c>
      <c r="E31" s="4">
        <v>5</v>
      </c>
      <c r="I31" s="6" t="s">
        <v>37</v>
      </c>
      <c r="J31" s="6" t="s">
        <v>59</v>
      </c>
      <c r="K31" s="6" t="s">
        <v>9</v>
      </c>
      <c r="L31" s="6">
        <v>1</v>
      </c>
      <c r="M31" s="6"/>
    </row>
    <row r="32" spans="1:13" x14ac:dyDescent="0.15">
      <c r="A32" s="4" t="s">
        <v>14</v>
      </c>
      <c r="B32" s="4" t="str">
        <f t="shared" si="7"/>
        <v>KP55M2J4HQ</v>
      </c>
      <c r="D32" s="4">
        <v>3</v>
      </c>
      <c r="E32" s="4">
        <v>5</v>
      </c>
      <c r="I32" s="113" t="s">
        <v>268</v>
      </c>
      <c r="J32" s="113" t="s">
        <v>56</v>
      </c>
      <c r="K32" s="113" t="s">
        <v>588</v>
      </c>
      <c r="L32" s="113">
        <v>1</v>
      </c>
      <c r="M32" s="12" t="s">
        <v>656</v>
      </c>
    </row>
    <row r="33" spans="1:13" x14ac:dyDescent="0.15">
      <c r="A33" s="4" t="s">
        <v>652</v>
      </c>
      <c r="B33" s="4" t="str">
        <f t="shared" si="7"/>
        <v>KPWA55J4</v>
      </c>
      <c r="D33" s="4">
        <v>3</v>
      </c>
      <c r="E33" s="4">
        <v>5</v>
      </c>
      <c r="I33" s="6" t="s">
        <v>590</v>
      </c>
      <c r="J33" s="6" t="s">
        <v>56</v>
      </c>
      <c r="K33" s="6" t="s">
        <v>179</v>
      </c>
      <c r="L33" s="6">
        <v>1</v>
      </c>
      <c r="M33" s="12" t="s">
        <v>656</v>
      </c>
    </row>
    <row r="34" spans="1:13" x14ac:dyDescent="0.15">
      <c r="A34" s="4" t="s">
        <v>15</v>
      </c>
      <c r="B34" s="4" t="str">
        <f t="shared" si="7"/>
        <v>KP48RJ3HQ</v>
      </c>
      <c r="D34" s="4">
        <v>3</v>
      </c>
      <c r="E34" s="4">
        <v>5</v>
      </c>
      <c r="I34" s="6" t="s">
        <v>47</v>
      </c>
      <c r="J34" s="6" t="s">
        <v>56</v>
      </c>
      <c r="K34" s="6" t="s">
        <v>178</v>
      </c>
      <c r="L34" s="6">
        <v>1</v>
      </c>
      <c r="M34" s="12" t="s">
        <v>656</v>
      </c>
    </row>
    <row r="35" spans="1:13" x14ac:dyDescent="0.15">
      <c r="A35" s="4" t="s">
        <v>16</v>
      </c>
      <c r="B35" s="4" t="str">
        <f t="shared" si="7"/>
        <v>KP59RJ4HQ</v>
      </c>
      <c r="D35" s="4">
        <v>3</v>
      </c>
      <c r="E35" s="4">
        <v>5</v>
      </c>
      <c r="I35" s="6" t="s">
        <v>29</v>
      </c>
      <c r="J35" s="6" t="s">
        <v>56</v>
      </c>
      <c r="K35" s="159" t="s">
        <v>62</v>
      </c>
      <c r="L35" s="6">
        <v>1</v>
      </c>
      <c r="M35" s="12" t="s">
        <v>656</v>
      </c>
    </row>
    <row r="36" spans="1:13" x14ac:dyDescent="0.15">
      <c r="A36" s="4" t="s">
        <v>658</v>
      </c>
      <c r="B36" s="4" t="str">
        <f t="shared" si="7"/>
        <v>EHFS55MP3B</v>
      </c>
      <c r="D36" s="4">
        <v>4</v>
      </c>
      <c r="E36" s="4">
        <v>10</v>
      </c>
      <c r="I36" s="159" t="s">
        <v>685</v>
      </c>
      <c r="J36" s="159" t="s">
        <v>56</v>
      </c>
      <c r="K36" s="159" t="s">
        <v>619</v>
      </c>
      <c r="L36" s="159">
        <v>1</v>
      </c>
      <c r="M36" s="12" t="s">
        <v>656</v>
      </c>
    </row>
    <row r="37" spans="1:13" x14ac:dyDescent="0.15">
      <c r="A37" s="4" t="s">
        <v>659</v>
      </c>
      <c r="B37" s="4" t="str">
        <f t="shared" si="7"/>
        <v>EHFS99MP5B</v>
      </c>
      <c r="D37" s="4">
        <v>4</v>
      </c>
      <c r="E37" s="4">
        <v>10</v>
      </c>
      <c r="I37" s="165" t="s">
        <v>686</v>
      </c>
      <c r="J37" s="165" t="s">
        <v>56</v>
      </c>
      <c r="K37" s="165" t="s">
        <v>683</v>
      </c>
      <c r="L37" s="165">
        <v>1</v>
      </c>
      <c r="M37" s="12" t="s">
        <v>656</v>
      </c>
    </row>
    <row r="38" spans="1:13" x14ac:dyDescent="0.15">
      <c r="A38" s="4" t="s">
        <v>669</v>
      </c>
      <c r="B38" s="4" t="str">
        <f t="shared" si="7"/>
        <v>KPBPA</v>
      </c>
      <c r="D38" s="4">
        <v>3</v>
      </c>
      <c r="E38" s="4">
        <v>11</v>
      </c>
      <c r="I38" s="159" t="s">
        <v>687</v>
      </c>
      <c r="J38" s="159" t="s">
        <v>56</v>
      </c>
      <c r="K38" s="159" t="s">
        <v>620</v>
      </c>
      <c r="L38" s="159">
        <v>1</v>
      </c>
      <c r="M38" s="12" t="s">
        <v>656</v>
      </c>
    </row>
    <row r="39" spans="1:13" x14ac:dyDescent="0.15">
      <c r="A39" s="4" t="s">
        <v>670</v>
      </c>
      <c r="B39" s="4" t="str">
        <f t="shared" si="7"/>
        <v>ESST3</v>
      </c>
      <c r="D39" s="4">
        <v>5</v>
      </c>
      <c r="E39" s="4">
        <v>12</v>
      </c>
      <c r="I39" s="165" t="s">
        <v>688</v>
      </c>
      <c r="J39" s="165" t="s">
        <v>56</v>
      </c>
      <c r="K39" s="165" t="s">
        <v>684</v>
      </c>
      <c r="L39" s="165">
        <v>1</v>
      </c>
      <c r="M39" s="12" t="s">
        <v>656</v>
      </c>
    </row>
    <row r="40" spans="1:13" x14ac:dyDescent="0.15">
      <c r="A40" s="4" t="s">
        <v>671</v>
      </c>
      <c r="B40" s="4" t="str">
        <f t="shared" si="7"/>
        <v>ESST1</v>
      </c>
      <c r="D40" s="4">
        <v>5</v>
      </c>
      <c r="E40" s="4">
        <v>13</v>
      </c>
      <c r="I40" s="164" t="s">
        <v>667</v>
      </c>
      <c r="J40" s="164" t="s">
        <v>56</v>
      </c>
      <c r="K40" s="164" t="s">
        <v>666</v>
      </c>
      <c r="L40" s="164">
        <v>1</v>
      </c>
      <c r="M40" s="12" t="s">
        <v>657</v>
      </c>
    </row>
    <row r="41" spans="1:13" x14ac:dyDescent="0.15">
      <c r="A41" s="4" t="s">
        <v>677</v>
      </c>
      <c r="B41" s="4" t="str">
        <f t="shared" si="7"/>
        <v>Q.READY</v>
      </c>
      <c r="D41" s="4">
        <v>5</v>
      </c>
      <c r="E41" s="4">
        <v>14</v>
      </c>
      <c r="I41" s="167" t="s">
        <v>691</v>
      </c>
      <c r="J41" s="167" t="s">
        <v>56</v>
      </c>
      <c r="K41" s="167" t="s">
        <v>698</v>
      </c>
      <c r="L41" s="167">
        <v>1</v>
      </c>
      <c r="M41" s="12" t="s">
        <v>657</v>
      </c>
    </row>
    <row r="42" spans="1:13" x14ac:dyDescent="0.15">
      <c r="A42" s="4" t="s">
        <v>130</v>
      </c>
      <c r="B42" s="4" t="str">
        <f t="shared" si="7"/>
        <v>なし</v>
      </c>
      <c r="D42" s="4">
        <v>6</v>
      </c>
      <c r="E42" s="4">
        <v>7</v>
      </c>
      <c r="I42" s="159" t="s">
        <v>623</v>
      </c>
      <c r="J42" s="159" t="s">
        <v>56</v>
      </c>
      <c r="K42" s="159" t="s">
        <v>622</v>
      </c>
      <c r="L42" s="159">
        <v>1</v>
      </c>
      <c r="M42" s="12" t="s">
        <v>657</v>
      </c>
    </row>
    <row r="43" spans="1:13" x14ac:dyDescent="0.15">
      <c r="I43" s="159" t="s">
        <v>27</v>
      </c>
      <c r="J43" s="159" t="s">
        <v>56</v>
      </c>
      <c r="K43" s="159" t="s">
        <v>28</v>
      </c>
      <c r="L43" s="159">
        <v>1</v>
      </c>
      <c r="M43" s="12" t="s">
        <v>657</v>
      </c>
    </row>
    <row r="44" spans="1:13" x14ac:dyDescent="0.15">
      <c r="I44" s="6" t="s">
        <v>23</v>
      </c>
      <c r="J44" s="159" t="s">
        <v>56</v>
      </c>
      <c r="K44" s="6" t="s">
        <v>25</v>
      </c>
      <c r="L44" s="6">
        <v>1</v>
      </c>
      <c r="M44" s="12" t="s">
        <v>657</v>
      </c>
    </row>
    <row r="45" spans="1:13" x14ac:dyDescent="0.15">
      <c r="A45" s="4" t="s">
        <v>31</v>
      </c>
      <c r="B45" s="4" t="str">
        <f>A45</f>
        <v>出力制御を行う</v>
      </c>
      <c r="C45" s="4" t="str">
        <f>AiSEG2及び関連部材の見積作成!B11</f>
        <v>出力制御を行わない</v>
      </c>
      <c r="D45" s="4">
        <v>1</v>
      </c>
      <c r="I45" s="6" t="s">
        <v>24</v>
      </c>
      <c r="J45" s="6" t="s">
        <v>58</v>
      </c>
      <c r="K45" s="6" t="s">
        <v>26</v>
      </c>
      <c r="L45" s="6">
        <v>1</v>
      </c>
      <c r="M45" s="12" t="s">
        <v>657</v>
      </c>
    </row>
    <row r="46" spans="1:13" x14ac:dyDescent="0.15">
      <c r="A46" s="4" t="s">
        <v>32</v>
      </c>
      <c r="B46" s="4" t="str">
        <f>A46</f>
        <v>出力制御を行わない</v>
      </c>
      <c r="D46" s="4">
        <v>2</v>
      </c>
      <c r="I46" s="6" t="s">
        <v>183</v>
      </c>
      <c r="J46" s="6" t="s">
        <v>58</v>
      </c>
      <c r="K46" s="6" t="s">
        <v>181</v>
      </c>
      <c r="L46" s="6">
        <v>1</v>
      </c>
      <c r="M46" s="12" t="s">
        <v>656</v>
      </c>
    </row>
    <row r="47" spans="1:13" x14ac:dyDescent="0.15">
      <c r="I47" s="6" t="s">
        <v>50</v>
      </c>
      <c r="J47" s="6" t="s">
        <v>56</v>
      </c>
      <c r="K47" s="6" t="s">
        <v>49</v>
      </c>
      <c r="L47" s="6">
        <v>1</v>
      </c>
      <c r="M47" s="12" t="s">
        <v>656</v>
      </c>
    </row>
    <row r="48" spans="1:13" x14ac:dyDescent="0.15">
      <c r="A48" s="4" t="s">
        <v>119</v>
      </c>
      <c r="B48" s="4" t="str">
        <f>LEFT(SUBSTITUTE(A48,"(",""),20)</f>
        <v>スマートコスモ太陽光用ネットアダプタ内蔵</v>
      </c>
      <c r="C48" s="4" t="str">
        <f>AiSEG2及び関連部材の見積作成!B20</f>
        <v>一般的な分電盤</v>
      </c>
      <c r="D48" s="4">
        <v>1</v>
      </c>
      <c r="I48" s="6" t="s">
        <v>51</v>
      </c>
      <c r="J48" s="6" t="s">
        <v>56</v>
      </c>
      <c r="K48" s="6" t="s">
        <v>593</v>
      </c>
      <c r="L48" s="6">
        <v>1</v>
      </c>
      <c r="M48" s="6"/>
    </row>
    <row r="49" spans="1:13" x14ac:dyDescent="0.15">
      <c r="A49" s="4" t="s">
        <v>120</v>
      </c>
      <c r="B49" s="4" t="str">
        <f>LEFT(SUBSTITUTE(A49,"(",""),20)</f>
        <v>スマートコスモ太陽光用ネットアダプタなし</v>
      </c>
      <c r="D49" s="4">
        <v>2</v>
      </c>
      <c r="I49" s="90" t="s">
        <v>264</v>
      </c>
      <c r="J49" s="90" t="s">
        <v>56</v>
      </c>
      <c r="K49" s="90" t="s">
        <v>216</v>
      </c>
      <c r="L49" s="90">
        <v>1</v>
      </c>
      <c r="M49" s="90"/>
    </row>
    <row r="50" spans="1:13" x14ac:dyDescent="0.15">
      <c r="A50" s="4" t="s">
        <v>1</v>
      </c>
      <c r="B50" s="4" t="str">
        <f>IF(AiSEG2及び関連部材の見積作成!B20=A48,B48,IF(AiSEG2及び関連部材の見積作成!B20=A49,B49,A50))</f>
        <v>一般的な分電盤</v>
      </c>
      <c r="D50" s="4">
        <v>3</v>
      </c>
      <c r="I50" s="6" t="s">
        <v>126</v>
      </c>
      <c r="J50" s="6" t="s">
        <v>59</v>
      </c>
      <c r="K50" s="6" t="s">
        <v>127</v>
      </c>
      <c r="L50" s="6">
        <v>1</v>
      </c>
      <c r="M50" s="12" t="s">
        <v>701</v>
      </c>
    </row>
    <row r="51" spans="1:13" x14ac:dyDescent="0.15">
      <c r="I51" s="6" t="s">
        <v>165</v>
      </c>
      <c r="J51" s="6" t="s">
        <v>56</v>
      </c>
      <c r="K51" s="6" t="s">
        <v>64</v>
      </c>
      <c r="L51" s="6">
        <v>1</v>
      </c>
      <c r="M51" s="6"/>
    </row>
    <row r="52" spans="1:13" x14ac:dyDescent="0.15">
      <c r="A52" s="4" t="s">
        <v>150</v>
      </c>
      <c r="B52" s="4" t="str">
        <f>A52</f>
        <v>7型モニター機能付</v>
      </c>
      <c r="C52" s="4" t="str">
        <f>RIGHT(AiSEG2及び関連部材の見積作成!B14,7)</f>
        <v>モニター機能付</v>
      </c>
      <c r="D52" s="4">
        <v>1</v>
      </c>
      <c r="I52" s="6" t="s">
        <v>166</v>
      </c>
      <c r="J52" s="6" t="s">
        <v>56</v>
      </c>
      <c r="K52" s="6" t="s">
        <v>65</v>
      </c>
      <c r="L52" s="6">
        <v>1</v>
      </c>
      <c r="M52" s="6"/>
    </row>
    <row r="53" spans="1:13" x14ac:dyDescent="0.15">
      <c r="A53" s="4" t="s">
        <v>147</v>
      </c>
      <c r="B53" s="4" t="str">
        <f>A53</f>
        <v>モニター機能無し</v>
      </c>
      <c r="D53" s="4">
        <v>2</v>
      </c>
      <c r="I53" s="6" t="s">
        <v>167</v>
      </c>
      <c r="J53" s="6" t="s">
        <v>56</v>
      </c>
      <c r="K53" s="6" t="s">
        <v>66</v>
      </c>
      <c r="L53" s="6">
        <v>1</v>
      </c>
      <c r="M53" s="6"/>
    </row>
    <row r="54" spans="1:13" x14ac:dyDescent="0.15">
      <c r="I54" s="6" t="s">
        <v>67</v>
      </c>
      <c r="J54" s="6" t="s">
        <v>81</v>
      </c>
      <c r="K54" s="6" t="s">
        <v>72</v>
      </c>
      <c r="L54" s="6">
        <f>AiSEG2及び関連部材の見積作成!$B$35</f>
        <v>0</v>
      </c>
      <c r="M54" s="6"/>
    </row>
    <row r="55" spans="1:13" x14ac:dyDescent="0.15">
      <c r="A55" s="4" t="s">
        <v>134</v>
      </c>
      <c r="C55" s="4" t="str">
        <f>AiSEG2及び関連部材の見積作成!B17</f>
        <v>不要</v>
      </c>
      <c r="D55" s="4">
        <v>1</v>
      </c>
      <c r="I55" s="6" t="s">
        <v>68</v>
      </c>
      <c r="J55" s="6" t="s">
        <v>81</v>
      </c>
      <c r="K55" s="6" t="s">
        <v>73</v>
      </c>
      <c r="L55" s="6">
        <f>AiSEG2及び関連部材の見積作成!$B$35</f>
        <v>0</v>
      </c>
      <c r="M55" s="6"/>
    </row>
    <row r="56" spans="1:13" x14ac:dyDescent="0.15">
      <c r="A56" s="4" t="s">
        <v>182</v>
      </c>
      <c r="D56" s="4">
        <v>2</v>
      </c>
      <c r="I56" s="6" t="s">
        <v>69</v>
      </c>
      <c r="J56" s="6" t="s">
        <v>81</v>
      </c>
      <c r="K56" s="6" t="s">
        <v>74</v>
      </c>
      <c r="L56" s="6">
        <f>AiSEG2及び関連部材の見積作成!$B$35</f>
        <v>0</v>
      </c>
      <c r="M56" s="6"/>
    </row>
    <row r="57" spans="1:13" x14ac:dyDescent="0.15">
      <c r="I57" s="6" t="s">
        <v>70</v>
      </c>
      <c r="J57" s="6" t="s">
        <v>81</v>
      </c>
      <c r="K57" s="6" t="s">
        <v>75</v>
      </c>
      <c r="L57" s="6">
        <f>AiSEG2及び関連部材の見積作成!$B$35</f>
        <v>0</v>
      </c>
      <c r="M57" s="6"/>
    </row>
    <row r="58" spans="1:13" x14ac:dyDescent="0.15">
      <c r="A58" s="4" t="s">
        <v>655</v>
      </c>
      <c r="I58" s="6" t="s">
        <v>82</v>
      </c>
      <c r="J58" s="6" t="s">
        <v>81</v>
      </c>
      <c r="K58" s="6" t="s">
        <v>76</v>
      </c>
      <c r="L58" s="6">
        <f>AiSEG2及び関連部材の見積作成!$B$39</f>
        <v>0</v>
      </c>
      <c r="M58" s="6"/>
    </row>
    <row r="59" spans="1:13" x14ac:dyDescent="0.15">
      <c r="A59" s="4" t="s">
        <v>63</v>
      </c>
      <c r="B59" s="4" t="str">
        <f t="shared" ref="B59:B64" si="9">SUBSTITUTE(A59,"-","")</f>
        <v>HQJPMSETA2HY</v>
      </c>
      <c r="C59" s="4" t="str">
        <f>AiSEG2及び関連部材の見積作成!B8</f>
        <v>QREADY-RM-1</v>
      </c>
      <c r="D59" s="4">
        <v>1</v>
      </c>
      <c r="I59" s="6" t="s">
        <v>83</v>
      </c>
      <c r="J59" s="6" t="s">
        <v>81</v>
      </c>
      <c r="K59" s="6" t="s">
        <v>71</v>
      </c>
      <c r="L59" s="6">
        <f>AiSEG2及び関連部材の見積作成!$B$39</f>
        <v>0</v>
      </c>
      <c r="M59" s="6"/>
    </row>
    <row r="60" spans="1:13" x14ac:dyDescent="0.15">
      <c r="A60" s="4" t="s">
        <v>180</v>
      </c>
      <c r="B60" s="4" t="str">
        <f t="shared" si="9"/>
        <v>HQJPMSETA2+HQJPRMA1</v>
      </c>
      <c r="D60" s="4">
        <v>2</v>
      </c>
      <c r="I60" s="6" t="s">
        <v>84</v>
      </c>
      <c r="J60" s="6" t="s">
        <v>81</v>
      </c>
      <c r="K60" s="6" t="s">
        <v>77</v>
      </c>
      <c r="L60" s="6">
        <f>AiSEG2及び関連部材の見積作成!$B$39</f>
        <v>0</v>
      </c>
      <c r="M60" s="6"/>
    </row>
    <row r="61" spans="1:13" x14ac:dyDescent="0.15">
      <c r="A61" s="4" t="s">
        <v>589</v>
      </c>
      <c r="B61" s="4" t="str">
        <f t="shared" ref="B61:B63" si="10">SUBSTITUTE(A61,"-","")</f>
        <v>HQJPMOTSA2+HQJPRMA1</v>
      </c>
      <c r="D61" s="4">
        <v>3</v>
      </c>
      <c r="I61" s="6" t="s">
        <v>92</v>
      </c>
      <c r="J61" s="6" t="s">
        <v>81</v>
      </c>
      <c r="K61" s="6" t="s">
        <v>78</v>
      </c>
      <c r="L61" s="6">
        <f>AiSEG2及び関連部材の見積作成!$B$39</f>
        <v>0</v>
      </c>
      <c r="M61" s="6"/>
    </row>
    <row r="62" spans="1:13" x14ac:dyDescent="0.15">
      <c r="A62" s="4" t="s">
        <v>634</v>
      </c>
      <c r="B62" s="4" t="str">
        <f t="shared" si="10"/>
        <v>HQJPMUKA3+HQJPRMA1</v>
      </c>
      <c r="D62" s="4">
        <v>13</v>
      </c>
      <c r="I62" s="6" t="s">
        <v>85</v>
      </c>
      <c r="J62" s="6" t="s">
        <v>81</v>
      </c>
      <c r="K62" s="6" t="s">
        <v>79</v>
      </c>
      <c r="L62" s="6">
        <f>AiSEG2及び関連部材の見積作成!$B$39</f>
        <v>0</v>
      </c>
      <c r="M62" s="6"/>
    </row>
    <row r="63" spans="1:13" x14ac:dyDescent="0.15">
      <c r="A63" s="4" t="s">
        <v>635</v>
      </c>
      <c r="B63" s="4" t="str">
        <f t="shared" si="10"/>
        <v>HQJPMUKA3+HQJPMC3+HQJPRMA1</v>
      </c>
      <c r="D63" s="4">
        <v>14</v>
      </c>
      <c r="I63" s="6" t="s">
        <v>86</v>
      </c>
      <c r="J63" s="6" t="s">
        <v>81</v>
      </c>
      <c r="K63" s="6" t="s">
        <v>80</v>
      </c>
      <c r="L63" s="6">
        <f>AiSEG2及び関連部材の見積作成!$B$39</f>
        <v>0</v>
      </c>
      <c r="M63" s="6"/>
    </row>
    <row r="64" spans="1:13" x14ac:dyDescent="0.15">
      <c r="A64" s="4" t="s">
        <v>179</v>
      </c>
      <c r="B64" s="4" t="str">
        <f t="shared" si="9"/>
        <v>HQJPMSETA2</v>
      </c>
      <c r="D64" s="4">
        <v>4</v>
      </c>
    </row>
    <row r="65" spans="1:4" x14ac:dyDescent="0.15">
      <c r="A65" s="4" t="s">
        <v>588</v>
      </c>
      <c r="B65" s="4" t="str">
        <f t="shared" ref="B65:B67" si="11">SUBSTITUTE(A65,"-","")</f>
        <v>HQJPMOTSA2</v>
      </c>
      <c r="D65" s="4">
        <v>5</v>
      </c>
    </row>
    <row r="66" spans="1:4" x14ac:dyDescent="0.15">
      <c r="A66" s="4" t="s">
        <v>619</v>
      </c>
      <c r="B66" s="4" t="str">
        <f t="shared" si="11"/>
        <v>HQJPMUKA3</v>
      </c>
      <c r="D66" s="4">
        <v>9</v>
      </c>
    </row>
    <row r="67" spans="1:4" x14ac:dyDescent="0.15">
      <c r="A67" s="4" t="s">
        <v>655</v>
      </c>
      <c r="B67" s="4" t="str">
        <f t="shared" si="11"/>
        <v>HQJPMUKA3+HQJPMC3</v>
      </c>
      <c r="D67" s="4">
        <v>10</v>
      </c>
    </row>
    <row r="68" spans="1:4" x14ac:dyDescent="0.15">
      <c r="A68" s="4" t="s">
        <v>636</v>
      </c>
      <c r="B68" s="4" t="str">
        <f>SUBSTITUTE(A68,"-","")</f>
        <v>HQJPMUKA3+HQJPRM3</v>
      </c>
      <c r="D68" s="4">
        <v>11</v>
      </c>
    </row>
    <row r="69" spans="1:4" x14ac:dyDescent="0.15">
      <c r="A69" s="4" t="s">
        <v>637</v>
      </c>
      <c r="B69" s="4" t="str">
        <f t="shared" ref="B69:B73" si="12">SUBSTITUTE(A69,"-","")</f>
        <v>HQJPMUKA3+HQJPMC3+HQJPRM3</v>
      </c>
      <c r="D69" s="4">
        <v>12</v>
      </c>
    </row>
    <row r="70" spans="1:4" x14ac:dyDescent="0.15">
      <c r="A70" s="4" t="s">
        <v>682</v>
      </c>
      <c r="B70" s="4" t="str">
        <f t="shared" si="12"/>
        <v>HQJPMUKA4</v>
      </c>
      <c r="D70" s="4">
        <v>30</v>
      </c>
    </row>
    <row r="71" spans="1:4" x14ac:dyDescent="0.15">
      <c r="A71" s="4" t="s">
        <v>672</v>
      </c>
      <c r="B71" s="4" t="str">
        <f>SUBSTITUTE(A71,"-","")</f>
        <v>HQJPMUKA4+HQJPMC4</v>
      </c>
      <c r="D71" s="4">
        <v>31</v>
      </c>
    </row>
    <row r="72" spans="1:4" x14ac:dyDescent="0.15">
      <c r="A72" s="4" t="s">
        <v>673</v>
      </c>
      <c r="B72" s="4" t="str">
        <f>SUBSTITUTE(A72,"-","")</f>
        <v>HQJPMUKA4+HQJPRM3</v>
      </c>
      <c r="D72" s="4">
        <v>32</v>
      </c>
    </row>
    <row r="73" spans="1:4" x14ac:dyDescent="0.15">
      <c r="A73" s="4" t="s">
        <v>674</v>
      </c>
      <c r="B73" s="4" t="str">
        <f t="shared" si="12"/>
        <v>HQJPMUKA4+HQJPMC4+HQJPRM3</v>
      </c>
      <c r="D73" s="4">
        <v>33</v>
      </c>
    </row>
    <row r="74" spans="1:4" x14ac:dyDescent="0.15">
      <c r="A74" s="4" t="s">
        <v>48</v>
      </c>
      <c r="B74" s="4" t="str">
        <f t="shared" ref="B74:B81" si="13">SUBSTITUTE(A74,"-","")</f>
        <v>KPMU1PSETHQ</v>
      </c>
      <c r="D74" s="4">
        <v>6</v>
      </c>
    </row>
    <row r="75" spans="1:4" x14ac:dyDescent="0.15">
      <c r="A75" s="4" t="s">
        <v>216</v>
      </c>
      <c r="B75" s="4" t="str">
        <f t="shared" si="13"/>
        <v>KPMU2BSET</v>
      </c>
      <c r="D75" s="4">
        <v>7</v>
      </c>
    </row>
    <row r="76" spans="1:4" x14ac:dyDescent="0.15">
      <c r="A76" s="4" t="s">
        <v>660</v>
      </c>
      <c r="B76" s="4" t="str">
        <f t="shared" si="13"/>
        <v>ZDIS27ENB01</v>
      </c>
      <c r="D76" s="4">
        <v>15</v>
      </c>
    </row>
    <row r="77" spans="1:4" x14ac:dyDescent="0.15">
      <c r="A77" s="4" t="s">
        <v>678</v>
      </c>
      <c r="B77" s="4" t="str">
        <f t="shared" si="13"/>
        <v>遠隔モニタリング</v>
      </c>
      <c r="D77" s="4">
        <v>20</v>
      </c>
    </row>
    <row r="78" spans="1:4" x14ac:dyDescent="0.15">
      <c r="A78" s="4" t="s">
        <v>675</v>
      </c>
      <c r="B78" s="4" t="str">
        <f t="shared" si="13"/>
        <v>ESR6（同梱）</v>
      </c>
      <c r="D78" s="4">
        <v>19</v>
      </c>
    </row>
    <row r="79" spans="1:4" x14ac:dyDescent="0.15">
      <c r="A79" s="4" t="s">
        <v>676</v>
      </c>
      <c r="B79" s="4" t="str">
        <f t="shared" si="13"/>
        <v>ESSR5（同梱）</v>
      </c>
      <c r="D79" s="4">
        <v>21</v>
      </c>
    </row>
    <row r="80" spans="1:4" x14ac:dyDescent="0.15">
      <c r="A80" s="4" t="s">
        <v>697</v>
      </c>
      <c r="B80" s="4" t="str">
        <f t="shared" si="13"/>
        <v>QREADYRM1</v>
      </c>
      <c r="D80" s="4">
        <v>22</v>
      </c>
    </row>
    <row r="81" spans="1:4" x14ac:dyDescent="0.15">
      <c r="A81" s="4" t="s">
        <v>130</v>
      </c>
      <c r="B81" s="4" t="str">
        <f t="shared" si="13"/>
        <v>なし</v>
      </c>
      <c r="D81" s="4">
        <v>8</v>
      </c>
    </row>
    <row r="83" spans="1:4" x14ac:dyDescent="0.15">
      <c r="A83" s="4" t="s">
        <v>699</v>
      </c>
    </row>
    <row r="84" spans="1:4" ht="31.5" x14ac:dyDescent="0.15">
      <c r="A84" s="37" t="s">
        <v>278</v>
      </c>
      <c r="B84" s="13" t="s">
        <v>36</v>
      </c>
      <c r="C84" s="4" t="str">
        <f>LEFT(SUBSTITUTE(AiSEG2及び関連部材の見積作成!B25,"(",""),26)</f>
        <v>AiSEG用エネルギー計測ユニット増設アダプタセット</v>
      </c>
    </row>
    <row r="85" spans="1:4" x14ac:dyDescent="0.15">
      <c r="A85" s="13" t="s">
        <v>279</v>
      </c>
      <c r="B85" s="13" t="s">
        <v>46</v>
      </c>
    </row>
    <row r="86" spans="1:4" x14ac:dyDescent="0.15">
      <c r="A86" s="13"/>
      <c r="B86" s="13"/>
    </row>
    <row r="87" spans="1:4" x14ac:dyDescent="0.15">
      <c r="A87" s="13" t="s">
        <v>129</v>
      </c>
      <c r="B87" s="13" t="s">
        <v>125</v>
      </c>
    </row>
    <row r="88" spans="1:4" x14ac:dyDescent="0.15">
      <c r="A88" s="13" t="s">
        <v>123</v>
      </c>
      <c r="B88" s="13" t="str">
        <f>A88</f>
        <v>なし</v>
      </c>
    </row>
    <row r="90" spans="1:4" x14ac:dyDescent="0.15">
      <c r="A90" s="4" t="s">
        <v>99</v>
      </c>
      <c r="B90" s="4" t="s">
        <v>95</v>
      </c>
      <c r="C90" s="4" t="s">
        <v>87</v>
      </c>
      <c r="D90" s="4" t="s">
        <v>131</v>
      </c>
    </row>
    <row r="91" spans="1:4" x14ac:dyDescent="0.15">
      <c r="A91" s="4" t="s">
        <v>93</v>
      </c>
      <c r="B91" s="4" t="str">
        <f>A91</f>
        <v>なし</v>
      </c>
      <c r="C91" s="4" t="str">
        <f>VLOOKUP(AiSEG2及び関連部材の見積作成!B28,$A$87:$B$90,2,FALSE)</f>
        <v>なし</v>
      </c>
      <c r="D91" s="4">
        <f>IF(C91="なし",0,1)</f>
        <v>0</v>
      </c>
    </row>
    <row r="92" spans="1:4" x14ac:dyDescent="0.15">
      <c r="A92" s="13" t="s">
        <v>116</v>
      </c>
      <c r="B92" s="13" t="s">
        <v>168</v>
      </c>
      <c r="C92" s="4" t="str">
        <f>VLOOKUP(AiSEG2及び関連部材の見積作成!B31,$A$91:$B$94,2,FALSE)</f>
        <v>なし</v>
      </c>
      <c r="D92" s="4">
        <f>IF(C92="なし",0,1)</f>
        <v>0</v>
      </c>
    </row>
    <row r="93" spans="1:4" x14ac:dyDescent="0.15">
      <c r="A93" s="13" t="s">
        <v>117</v>
      </c>
      <c r="B93" s="13" t="s">
        <v>169</v>
      </c>
      <c r="C93" s="4" t="str">
        <f>VLOOKUP(AiSEG2及び関連部材の見積作成!B34,$A$97:$B$101,2,FALSE)</f>
        <v>なし</v>
      </c>
      <c r="D93" s="4">
        <f>IF(OR(AiSEG2及び関連部材の見積作成!B35=0,C93="なし"),0,1)</f>
        <v>0</v>
      </c>
    </row>
    <row r="94" spans="1:4" x14ac:dyDescent="0.15">
      <c r="A94" s="13" t="s">
        <v>118</v>
      </c>
      <c r="B94" s="13" t="s">
        <v>170</v>
      </c>
      <c r="C94" s="4" t="str">
        <f>VLOOKUP(AiSEG2及び関連部材の見積作成!B38,$A$104:$B$110,2,FALSE)</f>
        <v>なし</v>
      </c>
      <c r="D94" s="4">
        <f>IF(OR(C94="なし",C113=0),0,1)</f>
        <v>0</v>
      </c>
    </row>
    <row r="95" spans="1:4" x14ac:dyDescent="0.15">
      <c r="A95" s="13"/>
      <c r="B95" s="13"/>
      <c r="D95" s="10" t="str">
        <f>D91&amp;D92&amp;D93&amp;D94</f>
        <v>0000</v>
      </c>
    </row>
    <row r="96" spans="1:4" x14ac:dyDescent="0.15">
      <c r="A96" s="14" t="s">
        <v>100</v>
      </c>
      <c r="B96" s="4" t="s">
        <v>96</v>
      </c>
    </row>
    <row r="97" spans="1:3" x14ac:dyDescent="0.15">
      <c r="A97" s="14" t="s">
        <v>94</v>
      </c>
      <c r="B97" s="4" t="str">
        <f>A97</f>
        <v>なし</v>
      </c>
      <c r="C97" s="4" t="s">
        <v>98</v>
      </c>
    </row>
    <row r="98" spans="1:3" x14ac:dyDescent="0.15">
      <c r="A98" s="13" t="s">
        <v>110</v>
      </c>
      <c r="B98" s="13" t="s">
        <v>67</v>
      </c>
      <c r="C98" s="4" t="str">
        <f>IF(OR(D95="1000",D95="1001",D95="1010",D95="1011",D95="1100",D95="1101",D95="1110",D95="1111"),C91,IF(OR(D95="0100",D95="0101",D95="0110",D95="0111"),C92,IF(OR(D95="0010",D95="0011"),C93,IF(D95="0001",C94,""))))</f>
        <v/>
      </c>
    </row>
    <row r="99" spans="1:3" x14ac:dyDescent="0.15">
      <c r="A99" s="13" t="s">
        <v>111</v>
      </c>
      <c r="B99" s="13" t="s">
        <v>68</v>
      </c>
      <c r="C99" s="4" t="str">
        <f>IF(OR(D95="1100",D95="1101",D95="1110",D95="1111"),C92,IF(OR(D95="0110",D95="0111",D95="1010",D95="1011"),C93,IF(OR(D95="1001",D95="0101",D95="0011"),C94,"")))</f>
        <v/>
      </c>
    </row>
    <row r="100" spans="1:3" x14ac:dyDescent="0.15">
      <c r="A100" s="13" t="s">
        <v>112</v>
      </c>
      <c r="B100" s="13" t="s">
        <v>69</v>
      </c>
      <c r="C100" s="4" t="str">
        <f>IF(OR(D95="1110",D95="1111"),C93,IF(OR(D95="0111",D95="1011",D95="1101"),C94,""))</f>
        <v/>
      </c>
    </row>
    <row r="101" spans="1:3" x14ac:dyDescent="0.15">
      <c r="A101" s="13" t="s">
        <v>113</v>
      </c>
      <c r="B101" s="13" t="s">
        <v>70</v>
      </c>
      <c r="C101" s="4" t="str">
        <f>IF(D95="1111",C94,"")</f>
        <v/>
      </c>
    </row>
    <row r="103" spans="1:3" x14ac:dyDescent="0.15">
      <c r="A103" s="14" t="s">
        <v>101</v>
      </c>
      <c r="B103" s="4" t="s">
        <v>97</v>
      </c>
    </row>
    <row r="104" spans="1:3" x14ac:dyDescent="0.15">
      <c r="A104" s="14" t="s">
        <v>93</v>
      </c>
      <c r="B104" s="4" t="str">
        <f>A104</f>
        <v>なし</v>
      </c>
    </row>
    <row r="105" spans="1:3" x14ac:dyDescent="0.15">
      <c r="A105" s="13" t="s">
        <v>114</v>
      </c>
      <c r="B105" s="13" t="s">
        <v>82</v>
      </c>
    </row>
    <row r="106" spans="1:3" x14ac:dyDescent="0.15">
      <c r="A106" s="13" t="s">
        <v>115</v>
      </c>
      <c r="B106" s="13" t="s">
        <v>83</v>
      </c>
    </row>
    <row r="107" spans="1:3" x14ac:dyDescent="0.15">
      <c r="A107" s="13" t="s">
        <v>110</v>
      </c>
      <c r="B107" s="13" t="s">
        <v>84</v>
      </c>
    </row>
    <row r="108" spans="1:3" x14ac:dyDescent="0.15">
      <c r="A108" s="13" t="s">
        <v>111</v>
      </c>
      <c r="B108" s="13" t="s">
        <v>92</v>
      </c>
    </row>
    <row r="109" spans="1:3" x14ac:dyDescent="0.15">
      <c r="A109" s="13" t="s">
        <v>112</v>
      </c>
      <c r="B109" s="13" t="s">
        <v>85</v>
      </c>
    </row>
    <row r="110" spans="1:3" x14ac:dyDescent="0.15">
      <c r="A110" s="13" t="s">
        <v>113</v>
      </c>
      <c r="B110" s="13" t="s">
        <v>86</v>
      </c>
    </row>
    <row r="112" spans="1:3" x14ac:dyDescent="0.15">
      <c r="A112" s="14" t="s">
        <v>102</v>
      </c>
      <c r="B112" s="4" t="s">
        <v>103</v>
      </c>
    </row>
    <row r="113" spans="1:3" x14ac:dyDescent="0.15">
      <c r="A113" s="15">
        <v>0</v>
      </c>
      <c r="B113" s="15">
        <f>A113</f>
        <v>0</v>
      </c>
      <c r="C113" s="16">
        <f>AiSEG2及び関連部材の見積作成!B39</f>
        <v>0</v>
      </c>
    </row>
    <row r="114" spans="1:3" x14ac:dyDescent="0.15">
      <c r="A114" s="15">
        <v>1</v>
      </c>
      <c r="B114" s="15">
        <f>A114</f>
        <v>1</v>
      </c>
    </row>
    <row r="115" spans="1:3" x14ac:dyDescent="0.15">
      <c r="A115" s="15">
        <v>2</v>
      </c>
      <c r="B115" s="15">
        <f>A115</f>
        <v>2</v>
      </c>
    </row>
    <row r="116" spans="1:3" x14ac:dyDescent="0.15">
      <c r="A116" s="15">
        <v>3</v>
      </c>
      <c r="B116" s="15">
        <f>A116</f>
        <v>3</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75"/>
  <sheetViews>
    <sheetView showGridLines="0" topLeftCell="A49" zoomScale="80" zoomScaleNormal="80" workbookViewId="0">
      <selection activeCell="D80" sqref="D80"/>
    </sheetView>
  </sheetViews>
  <sheetFormatPr defaultColWidth="8.875" defaultRowHeight="15.75" x14ac:dyDescent="0.15"/>
  <cols>
    <col min="1" max="1" width="25.5" style="89" customWidth="1"/>
    <col min="2" max="2" width="28.25" style="89" bestFit="1" customWidth="1"/>
    <col min="3" max="3" width="17.125" style="89" customWidth="1"/>
    <col min="4" max="4" width="18" style="89" bestFit="1" customWidth="1"/>
    <col min="5" max="5" width="30.25" style="89" customWidth="1"/>
    <col min="6" max="7" width="36.75" style="89" bestFit="1" customWidth="1"/>
    <col min="8" max="8" width="26.875" style="89" bestFit="1" customWidth="1"/>
    <col min="9" max="16384" width="8.875" style="89"/>
  </cols>
  <sheetData>
    <row r="1" spans="1:8" ht="31.9" customHeight="1" thickBot="1" x14ac:dyDescent="0.2">
      <c r="A1" s="207" t="s">
        <v>612</v>
      </c>
      <c r="B1" s="207"/>
      <c r="C1" s="207"/>
      <c r="D1" s="207"/>
      <c r="E1" s="207"/>
      <c r="F1" s="207"/>
      <c r="G1" s="207"/>
      <c r="H1" s="207"/>
    </row>
    <row r="2" spans="1:8" x14ac:dyDescent="0.15">
      <c r="A2" s="219" t="s">
        <v>160</v>
      </c>
      <c r="B2" s="220"/>
      <c r="C2" s="220"/>
      <c r="D2" s="220"/>
      <c r="E2" s="208" t="s">
        <v>161</v>
      </c>
      <c r="F2" s="209"/>
      <c r="G2" s="210"/>
      <c r="H2" s="214" t="s">
        <v>154</v>
      </c>
    </row>
    <row r="3" spans="1:8" x14ac:dyDescent="0.15">
      <c r="A3" s="158" t="s">
        <v>164</v>
      </c>
      <c r="B3" s="158" t="s">
        <v>163</v>
      </c>
      <c r="C3" s="158" t="s">
        <v>162</v>
      </c>
      <c r="D3" s="5" t="s">
        <v>617</v>
      </c>
      <c r="E3" s="211"/>
      <c r="F3" s="212"/>
      <c r="G3" s="213"/>
      <c r="H3" s="215"/>
    </row>
    <row r="4" spans="1:8" ht="16.149999999999999" customHeight="1" x14ac:dyDescent="0.15">
      <c r="A4" s="216" t="s">
        <v>146</v>
      </c>
      <c r="B4" s="205" t="s">
        <v>157</v>
      </c>
      <c r="C4" s="158" t="s">
        <v>34</v>
      </c>
      <c r="D4" s="5" t="s">
        <v>613</v>
      </c>
      <c r="E4" s="49" t="s">
        <v>614</v>
      </c>
      <c r="F4" s="42" t="s">
        <v>5</v>
      </c>
      <c r="G4" s="43" t="s">
        <v>153</v>
      </c>
      <c r="H4" s="44" t="s">
        <v>144</v>
      </c>
    </row>
    <row r="5" spans="1:8" ht="16.149999999999999" customHeight="1" x14ac:dyDescent="0.15">
      <c r="A5" s="217"/>
      <c r="B5" s="199"/>
      <c r="C5" s="158" t="s">
        <v>35</v>
      </c>
      <c r="D5" s="5" t="s">
        <v>613</v>
      </c>
      <c r="E5" s="49" t="s">
        <v>614</v>
      </c>
      <c r="F5" s="42" t="s">
        <v>5</v>
      </c>
      <c r="G5" s="43" t="s">
        <v>153</v>
      </c>
      <c r="H5" s="44" t="s">
        <v>144</v>
      </c>
    </row>
    <row r="6" spans="1:8" ht="16.149999999999999" customHeight="1" x14ac:dyDescent="0.15">
      <c r="A6" s="217"/>
      <c r="B6" s="199"/>
      <c r="C6" s="158" t="s">
        <v>34</v>
      </c>
      <c r="D6" s="5" t="s">
        <v>615</v>
      </c>
      <c r="E6" s="49" t="s">
        <v>616</v>
      </c>
      <c r="F6" s="42" t="s">
        <v>5</v>
      </c>
      <c r="G6" s="43" t="s">
        <v>153</v>
      </c>
      <c r="H6" s="44" t="s">
        <v>153</v>
      </c>
    </row>
    <row r="7" spans="1:8" ht="16.149999999999999" customHeight="1" x14ac:dyDescent="0.15">
      <c r="A7" s="217"/>
      <c r="B7" s="199"/>
      <c r="C7" s="158" t="s">
        <v>35</v>
      </c>
      <c r="D7" s="5" t="s">
        <v>615</v>
      </c>
      <c r="E7" s="49" t="s">
        <v>616</v>
      </c>
      <c r="F7" s="42" t="s">
        <v>5</v>
      </c>
      <c r="G7" s="43" t="s">
        <v>153</v>
      </c>
      <c r="H7" s="44" t="s">
        <v>153</v>
      </c>
    </row>
    <row r="8" spans="1:8" ht="16.149999999999999" customHeight="1" x14ac:dyDescent="0.15">
      <c r="A8" s="217"/>
      <c r="B8" s="200" t="s">
        <v>151</v>
      </c>
      <c r="C8" s="158" t="s">
        <v>34</v>
      </c>
      <c r="D8" s="5" t="s">
        <v>613</v>
      </c>
      <c r="E8" s="49" t="s">
        <v>614</v>
      </c>
      <c r="F8" s="42" t="s">
        <v>5</v>
      </c>
      <c r="G8" s="43" t="s">
        <v>153</v>
      </c>
      <c r="H8" s="44" t="s">
        <v>144</v>
      </c>
    </row>
    <row r="9" spans="1:8" ht="16.149999999999999" customHeight="1" x14ac:dyDescent="0.15">
      <c r="A9" s="217"/>
      <c r="B9" s="201"/>
      <c r="C9" s="158" t="s">
        <v>35</v>
      </c>
      <c r="D9" s="5" t="s">
        <v>613</v>
      </c>
      <c r="E9" s="49" t="s">
        <v>614</v>
      </c>
      <c r="F9" s="42" t="s">
        <v>5</v>
      </c>
      <c r="G9" s="43" t="s">
        <v>153</v>
      </c>
      <c r="H9" s="44" t="s">
        <v>144</v>
      </c>
    </row>
    <row r="10" spans="1:8" ht="16.149999999999999" customHeight="1" x14ac:dyDescent="0.15">
      <c r="A10" s="217"/>
      <c r="B10" s="201"/>
      <c r="C10" s="158" t="s">
        <v>34</v>
      </c>
      <c r="D10" s="5" t="s">
        <v>615</v>
      </c>
      <c r="E10" s="49" t="s">
        <v>616</v>
      </c>
      <c r="F10" s="42" t="s">
        <v>5</v>
      </c>
      <c r="G10" s="43" t="s">
        <v>153</v>
      </c>
      <c r="H10" s="44" t="s">
        <v>153</v>
      </c>
    </row>
    <row r="11" spans="1:8" ht="16.149999999999999" customHeight="1" x14ac:dyDescent="0.15">
      <c r="A11" s="217"/>
      <c r="B11" s="202"/>
      <c r="C11" s="158" t="s">
        <v>35</v>
      </c>
      <c r="D11" s="5" t="s">
        <v>615</v>
      </c>
      <c r="E11" s="49" t="s">
        <v>616</v>
      </c>
      <c r="F11" s="42" t="s">
        <v>5</v>
      </c>
      <c r="G11" s="43" t="s">
        <v>153</v>
      </c>
      <c r="H11" s="44" t="s">
        <v>153</v>
      </c>
    </row>
    <row r="12" spans="1:8" ht="16.149999999999999" customHeight="1" x14ac:dyDescent="0.15">
      <c r="A12" s="217"/>
      <c r="B12" s="203" t="s">
        <v>2</v>
      </c>
      <c r="C12" s="158" t="s">
        <v>34</v>
      </c>
      <c r="D12" s="5" t="s">
        <v>613</v>
      </c>
      <c r="E12" s="49" t="s">
        <v>614</v>
      </c>
      <c r="F12" s="42" t="s">
        <v>5</v>
      </c>
      <c r="G12" s="43" t="s">
        <v>279</v>
      </c>
      <c r="H12" s="44" t="s">
        <v>144</v>
      </c>
    </row>
    <row r="13" spans="1:8" ht="16.149999999999999" customHeight="1" x14ac:dyDescent="0.15">
      <c r="A13" s="217"/>
      <c r="B13" s="201"/>
      <c r="C13" s="158" t="s">
        <v>35</v>
      </c>
      <c r="D13" s="5" t="s">
        <v>613</v>
      </c>
      <c r="E13" s="49" t="s">
        <v>614</v>
      </c>
      <c r="F13" s="42" t="s">
        <v>5</v>
      </c>
      <c r="G13" s="43" t="s">
        <v>279</v>
      </c>
      <c r="H13" s="44" t="s">
        <v>144</v>
      </c>
    </row>
    <row r="14" spans="1:8" ht="16.149999999999999" customHeight="1" x14ac:dyDescent="0.15">
      <c r="A14" s="217"/>
      <c r="B14" s="201"/>
      <c r="C14" s="158" t="s">
        <v>34</v>
      </c>
      <c r="D14" s="5" t="s">
        <v>615</v>
      </c>
      <c r="E14" s="49" t="s">
        <v>616</v>
      </c>
      <c r="F14" s="42" t="s">
        <v>5</v>
      </c>
      <c r="G14" s="43" t="s">
        <v>279</v>
      </c>
      <c r="H14" s="44" t="s">
        <v>153</v>
      </c>
    </row>
    <row r="15" spans="1:8" ht="16.149999999999999" customHeight="1" x14ac:dyDescent="0.15">
      <c r="A15" s="218"/>
      <c r="B15" s="202"/>
      <c r="C15" s="158" t="s">
        <v>35</v>
      </c>
      <c r="D15" s="5" t="s">
        <v>615</v>
      </c>
      <c r="E15" s="49" t="s">
        <v>616</v>
      </c>
      <c r="F15" s="42" t="s">
        <v>5</v>
      </c>
      <c r="G15" s="43" t="s">
        <v>279</v>
      </c>
      <c r="H15" s="44" t="s">
        <v>155</v>
      </c>
    </row>
    <row r="16" spans="1:8" ht="16.149999999999999" customHeight="1" x14ac:dyDescent="0.15">
      <c r="A16" s="196" t="s">
        <v>145</v>
      </c>
      <c r="B16" s="205" t="s">
        <v>157</v>
      </c>
      <c r="C16" s="158" t="s">
        <v>34</v>
      </c>
      <c r="D16" s="5" t="s">
        <v>613</v>
      </c>
      <c r="E16" s="49" t="s">
        <v>614</v>
      </c>
      <c r="F16" s="43" t="s">
        <v>153</v>
      </c>
      <c r="G16" s="43" t="s">
        <v>153</v>
      </c>
      <c r="H16" s="44" t="s">
        <v>144</v>
      </c>
    </row>
    <row r="17" spans="1:8" ht="16.149999999999999" customHeight="1" x14ac:dyDescent="0.15">
      <c r="A17" s="196"/>
      <c r="B17" s="199"/>
      <c r="C17" s="158" t="s">
        <v>35</v>
      </c>
      <c r="D17" s="5" t="s">
        <v>613</v>
      </c>
      <c r="E17" s="49" t="s">
        <v>614</v>
      </c>
      <c r="F17" s="43" t="s">
        <v>153</v>
      </c>
      <c r="G17" s="43" t="s">
        <v>153</v>
      </c>
      <c r="H17" s="44" t="s">
        <v>144</v>
      </c>
    </row>
    <row r="18" spans="1:8" ht="16.149999999999999" customHeight="1" x14ac:dyDescent="0.15">
      <c r="A18" s="196"/>
      <c r="B18" s="199"/>
      <c r="C18" s="158" t="s">
        <v>34</v>
      </c>
      <c r="D18" s="5" t="s">
        <v>615</v>
      </c>
      <c r="E18" s="49" t="s">
        <v>616</v>
      </c>
      <c r="F18" s="43" t="s">
        <v>153</v>
      </c>
      <c r="G18" s="43" t="s">
        <v>153</v>
      </c>
      <c r="H18" s="44" t="s">
        <v>153</v>
      </c>
    </row>
    <row r="19" spans="1:8" ht="16.149999999999999" customHeight="1" x14ac:dyDescent="0.15">
      <c r="A19" s="196"/>
      <c r="B19" s="199"/>
      <c r="C19" s="158" t="s">
        <v>35</v>
      </c>
      <c r="D19" s="5" t="s">
        <v>615</v>
      </c>
      <c r="E19" s="49" t="s">
        <v>616</v>
      </c>
      <c r="F19" s="43" t="s">
        <v>153</v>
      </c>
      <c r="G19" s="43" t="s">
        <v>153</v>
      </c>
      <c r="H19" s="44" t="s">
        <v>153</v>
      </c>
    </row>
    <row r="20" spans="1:8" ht="16.149999999999999" customHeight="1" x14ac:dyDescent="0.15">
      <c r="A20" s="196"/>
      <c r="B20" s="200" t="s">
        <v>151</v>
      </c>
      <c r="C20" s="158" t="s">
        <v>34</v>
      </c>
      <c r="D20" s="5" t="s">
        <v>613</v>
      </c>
      <c r="E20" s="49" t="s">
        <v>614</v>
      </c>
      <c r="F20" s="42" t="s">
        <v>33</v>
      </c>
      <c r="G20" s="43" t="s">
        <v>153</v>
      </c>
      <c r="H20" s="44" t="s">
        <v>144</v>
      </c>
    </row>
    <row r="21" spans="1:8" ht="16.149999999999999" customHeight="1" x14ac:dyDescent="0.15">
      <c r="A21" s="196"/>
      <c r="B21" s="201"/>
      <c r="C21" s="158" t="s">
        <v>35</v>
      </c>
      <c r="D21" s="5" t="s">
        <v>613</v>
      </c>
      <c r="E21" s="49" t="s">
        <v>614</v>
      </c>
      <c r="F21" s="43" t="s">
        <v>153</v>
      </c>
      <c r="G21" s="43" t="s">
        <v>153</v>
      </c>
      <c r="H21" s="44" t="s">
        <v>144</v>
      </c>
    </row>
    <row r="22" spans="1:8" ht="16.149999999999999" customHeight="1" x14ac:dyDescent="0.15">
      <c r="A22" s="196"/>
      <c r="B22" s="201"/>
      <c r="C22" s="158" t="s">
        <v>34</v>
      </c>
      <c r="D22" s="5" t="s">
        <v>615</v>
      </c>
      <c r="E22" s="49" t="s">
        <v>616</v>
      </c>
      <c r="F22" s="42" t="s">
        <v>33</v>
      </c>
      <c r="G22" s="43" t="s">
        <v>153</v>
      </c>
      <c r="H22" s="44" t="s">
        <v>153</v>
      </c>
    </row>
    <row r="23" spans="1:8" ht="16.149999999999999" customHeight="1" x14ac:dyDescent="0.15">
      <c r="A23" s="196"/>
      <c r="B23" s="202"/>
      <c r="C23" s="158" t="s">
        <v>35</v>
      </c>
      <c r="D23" s="5" t="s">
        <v>615</v>
      </c>
      <c r="E23" s="49" t="s">
        <v>616</v>
      </c>
      <c r="F23" s="43" t="s">
        <v>153</v>
      </c>
      <c r="G23" s="43" t="s">
        <v>153</v>
      </c>
      <c r="H23" s="44" t="s">
        <v>153</v>
      </c>
    </row>
    <row r="24" spans="1:8" ht="16.149999999999999" customHeight="1" x14ac:dyDescent="0.15">
      <c r="A24" s="196"/>
      <c r="B24" s="203" t="s">
        <v>2</v>
      </c>
      <c r="C24" s="158" t="s">
        <v>34</v>
      </c>
      <c r="D24" s="5" t="s">
        <v>613</v>
      </c>
      <c r="E24" s="49" t="s">
        <v>614</v>
      </c>
      <c r="F24" s="42" t="s">
        <v>279</v>
      </c>
      <c r="G24" s="43" t="s">
        <v>153</v>
      </c>
      <c r="H24" s="44" t="s">
        <v>144</v>
      </c>
    </row>
    <row r="25" spans="1:8" ht="16.149999999999999" customHeight="1" x14ac:dyDescent="0.15">
      <c r="A25" s="196"/>
      <c r="B25" s="201"/>
      <c r="C25" s="158" t="s">
        <v>35</v>
      </c>
      <c r="D25" s="5" t="s">
        <v>613</v>
      </c>
      <c r="E25" s="49" t="s">
        <v>614</v>
      </c>
      <c r="F25" s="42" t="s">
        <v>279</v>
      </c>
      <c r="G25" s="43" t="s">
        <v>153</v>
      </c>
      <c r="H25" s="44" t="s">
        <v>144</v>
      </c>
    </row>
    <row r="26" spans="1:8" ht="16.149999999999999" customHeight="1" x14ac:dyDescent="0.15">
      <c r="A26" s="196"/>
      <c r="B26" s="201"/>
      <c r="C26" s="158" t="s">
        <v>34</v>
      </c>
      <c r="D26" s="5" t="s">
        <v>615</v>
      </c>
      <c r="E26" s="49" t="s">
        <v>616</v>
      </c>
      <c r="F26" s="42" t="s">
        <v>279</v>
      </c>
      <c r="G26" s="43" t="s">
        <v>153</v>
      </c>
      <c r="H26" s="44" t="s">
        <v>153</v>
      </c>
    </row>
    <row r="27" spans="1:8" ht="16.149999999999999" customHeight="1" x14ac:dyDescent="0.15">
      <c r="A27" s="196"/>
      <c r="B27" s="202"/>
      <c r="C27" s="158" t="s">
        <v>35</v>
      </c>
      <c r="D27" s="5" t="s">
        <v>615</v>
      </c>
      <c r="E27" s="49" t="s">
        <v>616</v>
      </c>
      <c r="F27" s="42" t="s">
        <v>279</v>
      </c>
      <c r="G27" s="43" t="s">
        <v>153</v>
      </c>
      <c r="H27" s="44" t="s">
        <v>153</v>
      </c>
    </row>
    <row r="28" spans="1:8" ht="16.149999999999999" customHeight="1" x14ac:dyDescent="0.15">
      <c r="A28" s="196" t="s">
        <v>646</v>
      </c>
      <c r="B28" s="205" t="s">
        <v>157</v>
      </c>
      <c r="C28" s="160" t="s">
        <v>34</v>
      </c>
      <c r="D28" s="5" t="s">
        <v>613</v>
      </c>
      <c r="E28" s="49" t="s">
        <v>614</v>
      </c>
      <c r="F28" s="43" t="s">
        <v>153</v>
      </c>
      <c r="G28" s="43" t="s">
        <v>153</v>
      </c>
      <c r="H28" s="44" t="s">
        <v>144</v>
      </c>
    </row>
    <row r="29" spans="1:8" ht="16.149999999999999" customHeight="1" x14ac:dyDescent="0.15">
      <c r="A29" s="196"/>
      <c r="B29" s="199"/>
      <c r="C29" s="160" t="s">
        <v>35</v>
      </c>
      <c r="D29" s="5" t="s">
        <v>613</v>
      </c>
      <c r="E29" s="49" t="s">
        <v>614</v>
      </c>
      <c r="F29" s="43" t="s">
        <v>153</v>
      </c>
      <c r="G29" s="43" t="s">
        <v>153</v>
      </c>
      <c r="H29" s="44" t="s">
        <v>144</v>
      </c>
    </row>
    <row r="30" spans="1:8" ht="16.149999999999999" customHeight="1" x14ac:dyDescent="0.15">
      <c r="A30" s="196"/>
      <c r="B30" s="199"/>
      <c r="C30" s="160" t="s">
        <v>34</v>
      </c>
      <c r="D30" s="5" t="s">
        <v>615</v>
      </c>
      <c r="E30" s="49" t="s">
        <v>616</v>
      </c>
      <c r="F30" s="43" t="s">
        <v>153</v>
      </c>
      <c r="G30" s="43" t="s">
        <v>153</v>
      </c>
      <c r="H30" s="44" t="s">
        <v>153</v>
      </c>
    </row>
    <row r="31" spans="1:8" ht="16.149999999999999" customHeight="1" x14ac:dyDescent="0.15">
      <c r="A31" s="196"/>
      <c r="B31" s="199"/>
      <c r="C31" s="160" t="s">
        <v>35</v>
      </c>
      <c r="D31" s="5" t="s">
        <v>615</v>
      </c>
      <c r="E31" s="49" t="s">
        <v>616</v>
      </c>
      <c r="F31" s="43" t="s">
        <v>153</v>
      </c>
      <c r="G31" s="43" t="s">
        <v>153</v>
      </c>
      <c r="H31" s="44" t="s">
        <v>153</v>
      </c>
    </row>
    <row r="32" spans="1:8" ht="16.149999999999999" customHeight="1" x14ac:dyDescent="0.15">
      <c r="A32" s="196"/>
      <c r="B32" s="200" t="s">
        <v>151</v>
      </c>
      <c r="C32" s="160" t="s">
        <v>34</v>
      </c>
      <c r="D32" s="5" t="s">
        <v>613</v>
      </c>
      <c r="E32" s="49" t="s">
        <v>614</v>
      </c>
      <c r="F32" s="42" t="s">
        <v>33</v>
      </c>
      <c r="G32" s="43" t="s">
        <v>153</v>
      </c>
      <c r="H32" s="44" t="s">
        <v>144</v>
      </c>
    </row>
    <row r="33" spans="1:8" ht="16.149999999999999" customHeight="1" x14ac:dyDescent="0.15">
      <c r="A33" s="196"/>
      <c r="B33" s="201"/>
      <c r="C33" s="160" t="s">
        <v>35</v>
      </c>
      <c r="D33" s="5" t="s">
        <v>613</v>
      </c>
      <c r="E33" s="49" t="s">
        <v>614</v>
      </c>
      <c r="F33" s="43" t="s">
        <v>153</v>
      </c>
      <c r="G33" s="43" t="s">
        <v>153</v>
      </c>
      <c r="H33" s="44" t="s">
        <v>144</v>
      </c>
    </row>
    <row r="34" spans="1:8" ht="16.149999999999999" customHeight="1" x14ac:dyDescent="0.15">
      <c r="A34" s="196"/>
      <c r="B34" s="201"/>
      <c r="C34" s="160" t="s">
        <v>34</v>
      </c>
      <c r="D34" s="5" t="s">
        <v>615</v>
      </c>
      <c r="E34" s="49" t="s">
        <v>616</v>
      </c>
      <c r="F34" s="42" t="s">
        <v>33</v>
      </c>
      <c r="G34" s="43" t="s">
        <v>153</v>
      </c>
      <c r="H34" s="44" t="s">
        <v>153</v>
      </c>
    </row>
    <row r="35" spans="1:8" ht="16.149999999999999" customHeight="1" x14ac:dyDescent="0.15">
      <c r="A35" s="196"/>
      <c r="B35" s="202"/>
      <c r="C35" s="160" t="s">
        <v>35</v>
      </c>
      <c r="D35" s="5" t="s">
        <v>615</v>
      </c>
      <c r="E35" s="49" t="s">
        <v>616</v>
      </c>
      <c r="F35" s="43" t="s">
        <v>153</v>
      </c>
      <c r="G35" s="43" t="s">
        <v>153</v>
      </c>
      <c r="H35" s="44" t="s">
        <v>153</v>
      </c>
    </row>
    <row r="36" spans="1:8" ht="16.149999999999999" customHeight="1" x14ac:dyDescent="0.15">
      <c r="A36" s="196"/>
      <c r="B36" s="203" t="s">
        <v>2</v>
      </c>
      <c r="C36" s="160" t="s">
        <v>34</v>
      </c>
      <c r="D36" s="5" t="s">
        <v>613</v>
      </c>
      <c r="E36" s="49" t="s">
        <v>614</v>
      </c>
      <c r="F36" s="42" t="s">
        <v>279</v>
      </c>
      <c r="G36" s="43" t="s">
        <v>153</v>
      </c>
      <c r="H36" s="44" t="s">
        <v>144</v>
      </c>
    </row>
    <row r="37" spans="1:8" ht="16.149999999999999" customHeight="1" x14ac:dyDescent="0.15">
      <c r="A37" s="196"/>
      <c r="B37" s="201"/>
      <c r="C37" s="160" t="s">
        <v>35</v>
      </c>
      <c r="D37" s="5" t="s">
        <v>613</v>
      </c>
      <c r="E37" s="49" t="s">
        <v>614</v>
      </c>
      <c r="F37" s="42" t="s">
        <v>279</v>
      </c>
      <c r="G37" s="43" t="s">
        <v>153</v>
      </c>
      <c r="H37" s="44" t="s">
        <v>144</v>
      </c>
    </row>
    <row r="38" spans="1:8" ht="16.149999999999999" customHeight="1" x14ac:dyDescent="0.15">
      <c r="A38" s="196"/>
      <c r="B38" s="201"/>
      <c r="C38" s="160" t="s">
        <v>34</v>
      </c>
      <c r="D38" s="5" t="s">
        <v>615</v>
      </c>
      <c r="E38" s="49" t="s">
        <v>616</v>
      </c>
      <c r="F38" s="42" t="s">
        <v>279</v>
      </c>
      <c r="G38" s="43" t="s">
        <v>153</v>
      </c>
      <c r="H38" s="44" t="s">
        <v>153</v>
      </c>
    </row>
    <row r="39" spans="1:8" ht="16.149999999999999" customHeight="1" x14ac:dyDescent="0.15">
      <c r="A39" s="196"/>
      <c r="B39" s="202"/>
      <c r="C39" s="160" t="s">
        <v>35</v>
      </c>
      <c r="D39" s="5" t="s">
        <v>615</v>
      </c>
      <c r="E39" s="49" t="s">
        <v>616</v>
      </c>
      <c r="F39" s="42" t="s">
        <v>279</v>
      </c>
      <c r="G39" s="43" t="s">
        <v>153</v>
      </c>
      <c r="H39" s="44" t="s">
        <v>153</v>
      </c>
    </row>
    <row r="40" spans="1:8" ht="16.149999999999999" customHeight="1" x14ac:dyDescent="0.15">
      <c r="A40" s="206" t="s">
        <v>594</v>
      </c>
      <c r="B40" s="205" t="s">
        <v>157</v>
      </c>
      <c r="C40" s="158" t="s">
        <v>34</v>
      </c>
      <c r="D40" s="5" t="s">
        <v>613</v>
      </c>
      <c r="E40" s="49" t="s">
        <v>614</v>
      </c>
      <c r="F40" s="42" t="s">
        <v>156</v>
      </c>
      <c r="G40" s="43" t="s">
        <v>153</v>
      </c>
      <c r="H40" s="44" t="s">
        <v>144</v>
      </c>
    </row>
    <row r="41" spans="1:8" ht="16.149999999999999" customHeight="1" x14ac:dyDescent="0.15">
      <c r="A41" s="196"/>
      <c r="B41" s="199"/>
      <c r="C41" s="158" t="s">
        <v>35</v>
      </c>
      <c r="D41" s="5" t="s">
        <v>613</v>
      </c>
      <c r="E41" s="49" t="s">
        <v>614</v>
      </c>
      <c r="F41" s="42" t="s">
        <v>152</v>
      </c>
      <c r="G41" s="43" t="s">
        <v>153</v>
      </c>
      <c r="H41" s="44" t="s">
        <v>144</v>
      </c>
    </row>
    <row r="42" spans="1:8" ht="16.149999999999999" customHeight="1" x14ac:dyDescent="0.15">
      <c r="A42" s="196"/>
      <c r="B42" s="199"/>
      <c r="C42" s="158" t="s">
        <v>34</v>
      </c>
      <c r="D42" s="5" t="s">
        <v>615</v>
      </c>
      <c r="E42" s="49" t="s">
        <v>616</v>
      </c>
      <c r="F42" s="42" t="s">
        <v>152</v>
      </c>
      <c r="G42" s="43" t="s">
        <v>153</v>
      </c>
      <c r="H42" s="44" t="s">
        <v>153</v>
      </c>
    </row>
    <row r="43" spans="1:8" ht="16.149999999999999" customHeight="1" x14ac:dyDescent="0.15">
      <c r="A43" s="196"/>
      <c r="B43" s="199"/>
      <c r="C43" s="158" t="s">
        <v>35</v>
      </c>
      <c r="D43" s="5" t="s">
        <v>615</v>
      </c>
      <c r="E43" s="49" t="s">
        <v>616</v>
      </c>
      <c r="F43" s="42" t="s">
        <v>152</v>
      </c>
      <c r="G43" s="43" t="s">
        <v>153</v>
      </c>
      <c r="H43" s="44" t="s">
        <v>153</v>
      </c>
    </row>
    <row r="44" spans="1:8" ht="16.149999999999999" customHeight="1" x14ac:dyDescent="0.15">
      <c r="A44" s="196"/>
      <c r="B44" s="200" t="s">
        <v>151</v>
      </c>
      <c r="C44" s="158" t="s">
        <v>34</v>
      </c>
      <c r="D44" s="5" t="s">
        <v>613</v>
      </c>
      <c r="E44" s="49" t="s">
        <v>614</v>
      </c>
      <c r="F44" s="42" t="s">
        <v>152</v>
      </c>
      <c r="G44" s="43" t="s">
        <v>153</v>
      </c>
      <c r="H44" s="44" t="s">
        <v>144</v>
      </c>
    </row>
    <row r="45" spans="1:8" ht="16.149999999999999" customHeight="1" x14ac:dyDescent="0.15">
      <c r="A45" s="196"/>
      <c r="B45" s="201"/>
      <c r="C45" s="158" t="s">
        <v>35</v>
      </c>
      <c r="D45" s="5" t="s">
        <v>613</v>
      </c>
      <c r="E45" s="49" t="s">
        <v>614</v>
      </c>
      <c r="F45" s="42" t="s">
        <v>152</v>
      </c>
      <c r="G45" s="43" t="s">
        <v>153</v>
      </c>
      <c r="H45" s="44" t="s">
        <v>144</v>
      </c>
    </row>
    <row r="46" spans="1:8" ht="16.149999999999999" customHeight="1" x14ac:dyDescent="0.15">
      <c r="A46" s="196"/>
      <c r="B46" s="201"/>
      <c r="C46" s="158" t="s">
        <v>34</v>
      </c>
      <c r="D46" s="5" t="s">
        <v>615</v>
      </c>
      <c r="E46" s="49" t="s">
        <v>616</v>
      </c>
      <c r="F46" s="42" t="s">
        <v>152</v>
      </c>
      <c r="G46" s="43" t="s">
        <v>153</v>
      </c>
      <c r="H46" s="44" t="s">
        <v>153</v>
      </c>
    </row>
    <row r="47" spans="1:8" ht="16.149999999999999" customHeight="1" x14ac:dyDescent="0.15">
      <c r="A47" s="196"/>
      <c r="B47" s="202"/>
      <c r="C47" s="158" t="s">
        <v>35</v>
      </c>
      <c r="D47" s="5" t="s">
        <v>615</v>
      </c>
      <c r="E47" s="49" t="s">
        <v>616</v>
      </c>
      <c r="F47" s="42" t="s">
        <v>152</v>
      </c>
      <c r="G47" s="43" t="s">
        <v>153</v>
      </c>
      <c r="H47" s="44" t="s">
        <v>153</v>
      </c>
    </row>
    <row r="48" spans="1:8" ht="16.149999999999999" customHeight="1" x14ac:dyDescent="0.15">
      <c r="A48" s="196"/>
      <c r="B48" s="203" t="s">
        <v>2</v>
      </c>
      <c r="C48" s="158" t="s">
        <v>34</v>
      </c>
      <c r="D48" s="5" t="s">
        <v>613</v>
      </c>
      <c r="E48" s="49" t="s">
        <v>614</v>
      </c>
      <c r="F48" s="43" t="s">
        <v>279</v>
      </c>
      <c r="G48" s="42" t="s">
        <v>152</v>
      </c>
      <c r="H48" s="44" t="s">
        <v>144</v>
      </c>
    </row>
    <row r="49" spans="1:8" ht="16.149999999999999" customHeight="1" x14ac:dyDescent="0.15">
      <c r="A49" s="196"/>
      <c r="B49" s="201"/>
      <c r="C49" s="158" t="s">
        <v>35</v>
      </c>
      <c r="D49" s="5" t="s">
        <v>613</v>
      </c>
      <c r="E49" s="49" t="s">
        <v>614</v>
      </c>
      <c r="F49" s="43" t="s">
        <v>279</v>
      </c>
      <c r="G49" s="42" t="s">
        <v>152</v>
      </c>
      <c r="H49" s="44" t="s">
        <v>144</v>
      </c>
    </row>
    <row r="50" spans="1:8" ht="16.149999999999999" customHeight="1" x14ac:dyDescent="0.15">
      <c r="A50" s="196"/>
      <c r="B50" s="201"/>
      <c r="C50" s="158" t="s">
        <v>34</v>
      </c>
      <c r="D50" s="5" t="s">
        <v>615</v>
      </c>
      <c r="E50" s="49" t="s">
        <v>616</v>
      </c>
      <c r="F50" s="43" t="s">
        <v>279</v>
      </c>
      <c r="G50" s="42" t="s">
        <v>152</v>
      </c>
      <c r="H50" s="44" t="s">
        <v>153</v>
      </c>
    </row>
    <row r="51" spans="1:8" ht="16.149999999999999" customHeight="1" x14ac:dyDescent="0.15">
      <c r="A51" s="196"/>
      <c r="B51" s="202"/>
      <c r="C51" s="158" t="s">
        <v>35</v>
      </c>
      <c r="D51" s="5" t="s">
        <v>615</v>
      </c>
      <c r="E51" s="49" t="s">
        <v>277</v>
      </c>
      <c r="F51" s="43" t="s">
        <v>279</v>
      </c>
      <c r="G51" s="42" t="s">
        <v>152</v>
      </c>
      <c r="H51" s="44" t="s">
        <v>153</v>
      </c>
    </row>
    <row r="52" spans="1:8" x14ac:dyDescent="0.15">
      <c r="A52" s="206" t="s">
        <v>595</v>
      </c>
      <c r="B52" s="205" t="s">
        <v>157</v>
      </c>
      <c r="C52" s="162" t="s">
        <v>34</v>
      </c>
      <c r="D52" s="5" t="s">
        <v>613</v>
      </c>
      <c r="E52" s="49" t="s">
        <v>614</v>
      </c>
      <c r="F52" s="42" t="s">
        <v>596</v>
      </c>
      <c r="G52" s="43" t="s">
        <v>153</v>
      </c>
      <c r="H52" s="44" t="s">
        <v>144</v>
      </c>
    </row>
    <row r="53" spans="1:8" x14ac:dyDescent="0.15">
      <c r="A53" s="196"/>
      <c r="B53" s="199"/>
      <c r="C53" s="162" t="s">
        <v>35</v>
      </c>
      <c r="D53" s="5" t="s">
        <v>613</v>
      </c>
      <c r="E53" s="49" t="s">
        <v>614</v>
      </c>
      <c r="F53" s="42" t="s">
        <v>596</v>
      </c>
      <c r="G53" s="43" t="s">
        <v>153</v>
      </c>
      <c r="H53" s="44" t="s">
        <v>144</v>
      </c>
    </row>
    <row r="54" spans="1:8" x14ac:dyDescent="0.15">
      <c r="A54" s="196"/>
      <c r="B54" s="199"/>
      <c r="C54" s="162" t="s">
        <v>34</v>
      </c>
      <c r="D54" s="5" t="s">
        <v>615</v>
      </c>
      <c r="E54" s="49" t="s">
        <v>616</v>
      </c>
      <c r="F54" s="42" t="s">
        <v>596</v>
      </c>
      <c r="G54" s="43" t="s">
        <v>153</v>
      </c>
      <c r="H54" s="44" t="s">
        <v>153</v>
      </c>
    </row>
    <row r="55" spans="1:8" x14ac:dyDescent="0.15">
      <c r="A55" s="196"/>
      <c r="B55" s="199"/>
      <c r="C55" s="162" t="s">
        <v>35</v>
      </c>
      <c r="D55" s="5" t="s">
        <v>615</v>
      </c>
      <c r="E55" s="49" t="s">
        <v>616</v>
      </c>
      <c r="F55" s="42" t="s">
        <v>596</v>
      </c>
      <c r="G55" s="43" t="s">
        <v>153</v>
      </c>
      <c r="H55" s="44" t="s">
        <v>153</v>
      </c>
    </row>
    <row r="56" spans="1:8" x14ac:dyDescent="0.15">
      <c r="A56" s="196"/>
      <c r="B56" s="200" t="s">
        <v>151</v>
      </c>
      <c r="C56" s="162" t="s">
        <v>34</v>
      </c>
      <c r="D56" s="5" t="s">
        <v>613</v>
      </c>
      <c r="E56" s="49" t="s">
        <v>614</v>
      </c>
      <c r="F56" s="42" t="s">
        <v>596</v>
      </c>
      <c r="G56" s="43" t="s">
        <v>153</v>
      </c>
      <c r="H56" s="44" t="s">
        <v>144</v>
      </c>
    </row>
    <row r="57" spans="1:8" x14ac:dyDescent="0.15">
      <c r="A57" s="196"/>
      <c r="B57" s="201"/>
      <c r="C57" s="162" t="s">
        <v>35</v>
      </c>
      <c r="D57" s="5" t="s">
        <v>613</v>
      </c>
      <c r="E57" s="49" t="s">
        <v>614</v>
      </c>
      <c r="F57" s="42" t="s">
        <v>596</v>
      </c>
      <c r="G57" s="43" t="s">
        <v>153</v>
      </c>
      <c r="H57" s="44" t="s">
        <v>144</v>
      </c>
    </row>
    <row r="58" spans="1:8" x14ac:dyDescent="0.15">
      <c r="A58" s="196"/>
      <c r="B58" s="201"/>
      <c r="C58" s="162" t="s">
        <v>34</v>
      </c>
      <c r="D58" s="5" t="s">
        <v>615</v>
      </c>
      <c r="E58" s="49" t="s">
        <v>616</v>
      </c>
      <c r="F58" s="42" t="s">
        <v>596</v>
      </c>
      <c r="G58" s="43" t="s">
        <v>153</v>
      </c>
      <c r="H58" s="44" t="s">
        <v>153</v>
      </c>
    </row>
    <row r="59" spans="1:8" x14ac:dyDescent="0.15">
      <c r="A59" s="196"/>
      <c r="B59" s="202"/>
      <c r="C59" s="162" t="s">
        <v>35</v>
      </c>
      <c r="D59" s="5" t="s">
        <v>615</v>
      </c>
      <c r="E59" s="49" t="s">
        <v>616</v>
      </c>
      <c r="F59" s="42" t="s">
        <v>597</v>
      </c>
      <c r="G59" s="43" t="s">
        <v>153</v>
      </c>
      <c r="H59" s="44" t="s">
        <v>153</v>
      </c>
    </row>
    <row r="60" spans="1:8" x14ac:dyDescent="0.15">
      <c r="A60" s="196"/>
      <c r="B60" s="203" t="s">
        <v>2</v>
      </c>
      <c r="C60" s="162" t="s">
        <v>34</v>
      </c>
      <c r="D60" s="5" t="s">
        <v>613</v>
      </c>
      <c r="E60" s="49" t="s">
        <v>614</v>
      </c>
      <c r="F60" s="43" t="s">
        <v>279</v>
      </c>
      <c r="G60" s="42" t="s">
        <v>596</v>
      </c>
      <c r="H60" s="44" t="s">
        <v>144</v>
      </c>
    </row>
    <row r="61" spans="1:8" x14ac:dyDescent="0.15">
      <c r="A61" s="196"/>
      <c r="B61" s="201"/>
      <c r="C61" s="162" t="s">
        <v>35</v>
      </c>
      <c r="D61" s="5" t="s">
        <v>613</v>
      </c>
      <c r="E61" s="49" t="s">
        <v>614</v>
      </c>
      <c r="F61" s="43" t="s">
        <v>279</v>
      </c>
      <c r="G61" s="42" t="s">
        <v>596</v>
      </c>
      <c r="H61" s="44" t="s">
        <v>144</v>
      </c>
    </row>
    <row r="62" spans="1:8" x14ac:dyDescent="0.15">
      <c r="A62" s="196"/>
      <c r="B62" s="201"/>
      <c r="C62" s="162" t="s">
        <v>34</v>
      </c>
      <c r="D62" s="5" t="s">
        <v>615</v>
      </c>
      <c r="E62" s="49" t="s">
        <v>616</v>
      </c>
      <c r="F62" s="43" t="s">
        <v>279</v>
      </c>
      <c r="G62" s="42" t="s">
        <v>596</v>
      </c>
      <c r="H62" s="44" t="s">
        <v>153</v>
      </c>
    </row>
    <row r="63" spans="1:8" x14ac:dyDescent="0.15">
      <c r="A63" s="196"/>
      <c r="B63" s="202"/>
      <c r="C63" s="162" t="s">
        <v>35</v>
      </c>
      <c r="D63" s="5" t="s">
        <v>615</v>
      </c>
      <c r="E63" s="49" t="s">
        <v>277</v>
      </c>
      <c r="F63" s="43" t="s">
        <v>279</v>
      </c>
      <c r="G63" s="42" t="s">
        <v>597</v>
      </c>
      <c r="H63" s="44" t="s">
        <v>153</v>
      </c>
    </row>
    <row r="64" spans="1:8" x14ac:dyDescent="0.15">
      <c r="A64" s="195" t="s">
        <v>663</v>
      </c>
      <c r="B64" s="198" t="s">
        <v>157</v>
      </c>
      <c r="C64" s="161" t="s">
        <v>34</v>
      </c>
      <c r="D64" s="145" t="s">
        <v>613</v>
      </c>
      <c r="E64" s="146" t="s">
        <v>614</v>
      </c>
      <c r="F64" s="43" t="s">
        <v>279</v>
      </c>
      <c r="G64" s="147" t="s">
        <v>153</v>
      </c>
      <c r="H64" s="148" t="s">
        <v>144</v>
      </c>
    </row>
    <row r="65" spans="1:8" x14ac:dyDescent="0.15">
      <c r="A65" s="196"/>
      <c r="B65" s="199"/>
      <c r="C65" s="162" t="s">
        <v>35</v>
      </c>
      <c r="D65" s="5" t="s">
        <v>613</v>
      </c>
      <c r="E65" s="49" t="s">
        <v>614</v>
      </c>
      <c r="F65" s="43" t="s">
        <v>279</v>
      </c>
      <c r="G65" s="43" t="s">
        <v>153</v>
      </c>
      <c r="H65" s="44" t="s">
        <v>144</v>
      </c>
    </row>
    <row r="66" spans="1:8" x14ac:dyDescent="0.15">
      <c r="A66" s="196"/>
      <c r="B66" s="199"/>
      <c r="C66" s="162" t="s">
        <v>34</v>
      </c>
      <c r="D66" s="5" t="s">
        <v>615</v>
      </c>
      <c r="E66" s="49" t="s">
        <v>616</v>
      </c>
      <c r="F66" s="43" t="s">
        <v>279</v>
      </c>
      <c r="G66" s="43" t="s">
        <v>153</v>
      </c>
      <c r="H66" s="44" t="s">
        <v>153</v>
      </c>
    </row>
    <row r="67" spans="1:8" x14ac:dyDescent="0.15">
      <c r="A67" s="196"/>
      <c r="B67" s="199"/>
      <c r="C67" s="162" t="s">
        <v>35</v>
      </c>
      <c r="D67" s="5" t="s">
        <v>615</v>
      </c>
      <c r="E67" s="49" t="s">
        <v>616</v>
      </c>
      <c r="F67" s="43" t="s">
        <v>279</v>
      </c>
      <c r="G67" s="43" t="s">
        <v>153</v>
      </c>
      <c r="H67" s="44" t="s">
        <v>153</v>
      </c>
    </row>
    <row r="68" spans="1:8" x14ac:dyDescent="0.15">
      <c r="A68" s="196"/>
      <c r="B68" s="200" t="s">
        <v>151</v>
      </c>
      <c r="C68" s="162" t="s">
        <v>34</v>
      </c>
      <c r="D68" s="5" t="s">
        <v>613</v>
      </c>
      <c r="E68" s="49" t="s">
        <v>614</v>
      </c>
      <c r="F68" s="43" t="s">
        <v>279</v>
      </c>
      <c r="G68" s="43" t="s">
        <v>153</v>
      </c>
      <c r="H68" s="44" t="s">
        <v>144</v>
      </c>
    </row>
    <row r="69" spans="1:8" x14ac:dyDescent="0.15">
      <c r="A69" s="196"/>
      <c r="B69" s="201"/>
      <c r="C69" s="162" t="s">
        <v>35</v>
      </c>
      <c r="D69" s="5" t="s">
        <v>613</v>
      </c>
      <c r="E69" s="49" t="s">
        <v>614</v>
      </c>
      <c r="F69" s="43" t="s">
        <v>279</v>
      </c>
      <c r="G69" s="43" t="s">
        <v>153</v>
      </c>
      <c r="H69" s="44" t="s">
        <v>144</v>
      </c>
    </row>
    <row r="70" spans="1:8" x14ac:dyDescent="0.15">
      <c r="A70" s="196"/>
      <c r="B70" s="201"/>
      <c r="C70" s="162" t="s">
        <v>34</v>
      </c>
      <c r="D70" s="5" t="s">
        <v>615</v>
      </c>
      <c r="E70" s="49" t="s">
        <v>616</v>
      </c>
      <c r="F70" s="43" t="s">
        <v>279</v>
      </c>
      <c r="G70" s="43" t="s">
        <v>153</v>
      </c>
      <c r="H70" s="44" t="s">
        <v>153</v>
      </c>
    </row>
    <row r="71" spans="1:8" x14ac:dyDescent="0.15">
      <c r="A71" s="196"/>
      <c r="B71" s="202"/>
      <c r="C71" s="162" t="s">
        <v>35</v>
      </c>
      <c r="D71" s="5" t="s">
        <v>615</v>
      </c>
      <c r="E71" s="49" t="s">
        <v>616</v>
      </c>
      <c r="F71" s="43" t="s">
        <v>279</v>
      </c>
      <c r="G71" s="43" t="s">
        <v>153</v>
      </c>
      <c r="H71" s="44" t="s">
        <v>153</v>
      </c>
    </row>
    <row r="72" spans="1:8" x14ac:dyDescent="0.15">
      <c r="A72" s="196"/>
      <c r="B72" s="203" t="s">
        <v>2</v>
      </c>
      <c r="C72" s="162" t="s">
        <v>34</v>
      </c>
      <c r="D72" s="5" t="s">
        <v>613</v>
      </c>
      <c r="E72" s="49" t="s">
        <v>614</v>
      </c>
      <c r="F72" s="43" t="s">
        <v>279</v>
      </c>
      <c r="G72" s="43" t="s">
        <v>153</v>
      </c>
      <c r="H72" s="44" t="s">
        <v>144</v>
      </c>
    </row>
    <row r="73" spans="1:8" x14ac:dyDescent="0.15">
      <c r="A73" s="196"/>
      <c r="B73" s="201"/>
      <c r="C73" s="162" t="s">
        <v>35</v>
      </c>
      <c r="D73" s="5" t="s">
        <v>613</v>
      </c>
      <c r="E73" s="49" t="s">
        <v>614</v>
      </c>
      <c r="F73" s="43" t="s">
        <v>279</v>
      </c>
      <c r="G73" s="43" t="s">
        <v>153</v>
      </c>
      <c r="H73" s="44" t="s">
        <v>144</v>
      </c>
    </row>
    <row r="74" spans="1:8" x14ac:dyDescent="0.15">
      <c r="A74" s="196"/>
      <c r="B74" s="201"/>
      <c r="C74" s="162" t="s">
        <v>34</v>
      </c>
      <c r="D74" s="5" t="s">
        <v>615</v>
      </c>
      <c r="E74" s="49" t="s">
        <v>616</v>
      </c>
      <c r="F74" s="43" t="s">
        <v>279</v>
      </c>
      <c r="G74" s="43" t="s">
        <v>153</v>
      </c>
      <c r="H74" s="44" t="s">
        <v>153</v>
      </c>
    </row>
    <row r="75" spans="1:8" ht="16.5" thickBot="1" x14ac:dyDescent="0.2">
      <c r="A75" s="197"/>
      <c r="B75" s="204"/>
      <c r="C75" s="163" t="s">
        <v>35</v>
      </c>
      <c r="D75" s="48" t="s">
        <v>615</v>
      </c>
      <c r="E75" s="50" t="s">
        <v>277</v>
      </c>
      <c r="F75" s="46" t="s">
        <v>279</v>
      </c>
      <c r="G75" s="46" t="s">
        <v>153</v>
      </c>
      <c r="H75" s="47" t="s">
        <v>153</v>
      </c>
    </row>
  </sheetData>
  <mergeCells count="28">
    <mergeCell ref="B16:B19"/>
    <mergeCell ref="B20:B23"/>
    <mergeCell ref="A16:A27"/>
    <mergeCell ref="B24:B27"/>
    <mergeCell ref="A28:A39"/>
    <mergeCell ref="A1:H1"/>
    <mergeCell ref="E2:G3"/>
    <mergeCell ref="H2:H3"/>
    <mergeCell ref="B12:B15"/>
    <mergeCell ref="A4:A15"/>
    <mergeCell ref="A2:D2"/>
    <mergeCell ref="B4:B7"/>
    <mergeCell ref="B8:B11"/>
    <mergeCell ref="A64:A75"/>
    <mergeCell ref="B64:B67"/>
    <mergeCell ref="B68:B71"/>
    <mergeCell ref="B72:B75"/>
    <mergeCell ref="B28:B31"/>
    <mergeCell ref="B32:B35"/>
    <mergeCell ref="B36:B39"/>
    <mergeCell ref="A52:A63"/>
    <mergeCell ref="B52:B55"/>
    <mergeCell ref="B56:B59"/>
    <mergeCell ref="B60:B63"/>
    <mergeCell ref="A40:A51"/>
    <mergeCell ref="B40:B43"/>
    <mergeCell ref="B44:B47"/>
    <mergeCell ref="B48:B51"/>
  </mergeCells>
  <phoneticPr fontId="1"/>
  <pageMargins left="0.7" right="0.7" top="0.75" bottom="0.75" header="0.3" footer="0.3"/>
  <pageSetup paperSize="9" scale="6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O51"/>
  <sheetViews>
    <sheetView showGridLines="0" topLeftCell="A4" zoomScale="90" zoomScaleNormal="90" workbookViewId="0">
      <selection activeCell="B16" sqref="B16:D16"/>
    </sheetView>
  </sheetViews>
  <sheetFormatPr defaultColWidth="8.875" defaultRowHeight="15.75" x14ac:dyDescent="0.15"/>
  <cols>
    <col min="1" max="1" width="45.875" style="1" customWidth="1"/>
    <col min="2" max="2" width="7" style="1" customWidth="1"/>
    <col min="3" max="3" width="16.5" style="1" customWidth="1"/>
    <col min="4" max="4" width="15.125" style="1" customWidth="1"/>
    <col min="5" max="5" width="2.625" style="1" customWidth="1"/>
    <col min="6" max="6" width="34" style="1" customWidth="1"/>
    <col min="7" max="7" width="6.875" style="1" customWidth="1"/>
    <col min="8" max="8" width="35.375" style="1" customWidth="1"/>
    <col min="9" max="9" width="6.5" style="1" customWidth="1"/>
    <col min="10" max="16384" width="8.875" style="1"/>
  </cols>
  <sheetData>
    <row r="1" spans="1:15" ht="33.6" customHeight="1" x14ac:dyDescent="0.15">
      <c r="A1" s="170" t="s">
        <v>431</v>
      </c>
      <c r="B1" s="170"/>
      <c r="C1" s="170"/>
      <c r="D1" s="170"/>
      <c r="E1" s="170"/>
      <c r="F1" s="170"/>
      <c r="G1" s="170"/>
      <c r="H1" s="170"/>
      <c r="I1" s="170"/>
      <c r="J1" s="170"/>
      <c r="K1" s="170"/>
      <c r="L1" s="170"/>
      <c r="M1" s="170"/>
      <c r="N1" s="170"/>
      <c r="O1" s="170"/>
    </row>
    <row r="2" spans="1:15" ht="20.25" thickBot="1" x14ac:dyDescent="0.35">
      <c r="A2" s="18" t="s">
        <v>122</v>
      </c>
      <c r="B2" s="179" t="s">
        <v>105</v>
      </c>
      <c r="C2" s="179"/>
      <c r="D2" s="179"/>
      <c r="E2" s="17"/>
      <c r="F2" s="183" t="s">
        <v>432</v>
      </c>
      <c r="G2" s="183"/>
      <c r="H2" s="183"/>
      <c r="I2" s="183"/>
    </row>
    <row r="3" spans="1:15" ht="15.6" customHeight="1" thickBot="1" x14ac:dyDescent="0.3">
      <c r="A3" s="241" t="s">
        <v>606</v>
      </c>
      <c r="B3" s="246" t="s">
        <v>549</v>
      </c>
      <c r="C3" s="247"/>
      <c r="D3" s="248"/>
      <c r="F3" s="19" t="s">
        <v>6</v>
      </c>
      <c r="G3" s="20" t="s">
        <v>55</v>
      </c>
      <c r="H3" s="20" t="s">
        <v>7</v>
      </c>
      <c r="I3" s="21" t="s">
        <v>8</v>
      </c>
      <c r="J3" s="36"/>
    </row>
    <row r="4" spans="1:15" x14ac:dyDescent="0.25">
      <c r="A4" s="241"/>
      <c r="B4" s="245" t="s">
        <v>618</v>
      </c>
      <c r="C4" s="245"/>
      <c r="D4" s="245"/>
      <c r="F4" s="25" t="str">
        <f>IFERROR(VLOOKUP(H4,補助金拾い出し算出シート!$H$20:L99,3,FALSE),"")</f>
        <v>カラーモニタセット(無線タイプ)</v>
      </c>
      <c r="G4" s="70" t="str">
        <f>IFERROR(VLOOKUP(H4,補助金拾い出し算出シート!$H$20:L104,2,FALSE),"")</f>
        <v>セット</v>
      </c>
      <c r="H4" s="152" t="str">
        <f>補助金拾い出し算出シート!H3</f>
        <v>HQ-D-M06H-1M</v>
      </c>
      <c r="I4" s="71">
        <f>IFERROR(VLOOKUP(H4,補助金拾い出し算出シート!$H$20:L99,4,FALSE),"")</f>
        <v>1</v>
      </c>
      <c r="J4" s="73" t="str">
        <f>IF(F4="","",IF(VLOOKUP(F4,補助金拾い出し算出シート!$J$20:M111,4,FALSE)="","",VLOOKUP(F4,補助金拾い出し算出シート!$J$20:M111,4,FALSE)))</f>
        <v>←不要な場合見積編集画の数量(変更)に0を入力して下さい。</v>
      </c>
    </row>
    <row r="5" spans="1:15" ht="15" customHeight="1" x14ac:dyDescent="0.3">
      <c r="A5" s="241"/>
      <c r="B5" s="112"/>
      <c r="C5" s="112"/>
      <c r="D5" s="112"/>
      <c r="F5" s="29" t="str">
        <f>IFERROR(VLOOKUP(H5,補助金拾い出し算出シート!$H$20:L99,3,FALSE),"")</f>
        <v>エネルギー計測ユニット有線方式</v>
      </c>
      <c r="G5" s="38" t="str">
        <f>IFERROR(VLOOKUP(H5,補助金拾い出し算出シート!$H$20:L104,2,FALSE),"")</f>
        <v>台</v>
      </c>
      <c r="H5" s="72" t="str">
        <f>補助金拾い出し算出シート!H4</f>
        <v>HM-EM03-E</v>
      </c>
      <c r="I5" s="40">
        <f>IFERROR(VLOOKUP(H5,補助金拾い出し算出シート!$H$20:L99,4,FALSE),"")</f>
        <v>1</v>
      </c>
      <c r="J5" s="73" t="str">
        <f>IF(F5="","",IF(VLOOKUP(F5,補助金拾い出し算出シート!$J$20:M112,4,FALSE)="","",VLOOKUP(F5,補助金拾い出し算出シート!$J$20:M112,4,FALSE)))</f>
        <v/>
      </c>
    </row>
    <row r="6" spans="1:15" x14ac:dyDescent="0.15">
      <c r="A6" s="241"/>
      <c r="B6" s="174" t="s">
        <v>550</v>
      </c>
      <c r="C6" s="175"/>
      <c r="D6" s="176"/>
      <c r="F6" s="29" t="str">
        <f>IFERROR(VLOOKUP(H6,補助金拾い出し算出シート!$H$20:L100,3,FALSE),"")</f>
        <v>電流センサ増設用セット(1.8m/内径10mm)</v>
      </c>
      <c r="G6" s="38" t="str">
        <f>IFERROR(VLOOKUP(H6,補助金拾い出し算出シート!$H$20:L105,2,FALSE),"")</f>
        <v>セット</v>
      </c>
      <c r="H6" s="72" t="str">
        <f>補助金拾い出し算出シート!H5</f>
        <v>POK-C018G</v>
      </c>
      <c r="I6" s="40">
        <f>IFERROR(VLOOKUP(H6,補助金拾い出し算出シート!$H$20:L100,4,FALSE),"")</f>
        <v>1</v>
      </c>
      <c r="J6" s="73" t="str">
        <f>IF(F6="","",IF(VLOOKUP(F6,補助金拾い出し算出シート!$J$20:M113,4,FALSE)="","",VLOOKUP(F6,補助金拾い出し算出シート!$J$20:M113,4,FALSE)))</f>
        <v/>
      </c>
    </row>
    <row r="7" spans="1:15" x14ac:dyDescent="0.15">
      <c r="A7" s="241"/>
      <c r="B7" s="182" t="s">
        <v>664</v>
      </c>
      <c r="C7" s="182"/>
      <c r="D7" s="182"/>
      <c r="F7" s="29" t="str">
        <f>IFERROR(VLOOKUP(H7,補助金拾い出し算出シート!$H$20:L101,3,FALSE),"")</f>
        <v>電流センサ(内径16mm)増設用</v>
      </c>
      <c r="G7" s="38" t="str">
        <f>IFERROR(VLOOKUP(H7,補助金拾い出し算出シート!$H$20:L105,2,FALSE),"")</f>
        <v>個</v>
      </c>
      <c r="H7" s="72" t="str">
        <f>補助金拾い出し算出シート!H6</f>
        <v>POK-S016</v>
      </c>
      <c r="I7" s="40">
        <f>IFERROR(VLOOKUP(H7,補助金拾い出し算出シート!$H$20:L101,4,FALSE),"")</f>
        <v>1</v>
      </c>
      <c r="J7" s="73" t="str">
        <f>IF(F7="","",IF(VLOOKUP(F7,補助金拾い出し算出シート!$J$20:M114,4,FALSE)="","",VLOOKUP(F7,補助金拾い出し算出シート!$J$20:M114,4,FALSE)))</f>
        <v/>
      </c>
    </row>
    <row r="8" spans="1:15" x14ac:dyDescent="0.15">
      <c r="A8" s="241"/>
      <c r="B8" s="22"/>
      <c r="C8" s="22"/>
      <c r="D8" s="22"/>
      <c r="F8" s="29" t="str">
        <f>IFERROR(VLOOKUP(H8,補助金拾い出し算出シート!$H$20:L102,3,FALSE),"")</f>
        <v>電流センサ増設用ケーブル(10m)</v>
      </c>
      <c r="G8" s="38" t="str">
        <f>IFERROR(VLOOKUP(H8,補助金拾い出し算出シート!$H$20:L105,2,FALSE),"")</f>
        <v>本</v>
      </c>
      <c r="H8" s="72" t="str">
        <f>補助金拾い出し算出シート!H7</f>
        <v>POK-C100X</v>
      </c>
      <c r="I8" s="40">
        <f>IFERROR(VLOOKUP(H8,補助金拾い出し算出シート!$H$20:L102,4,FALSE),"")</f>
        <v>1</v>
      </c>
      <c r="J8" s="73" t="str">
        <f>IF(F8="","",IF(VLOOKUP(F8,補助金拾い出し算出シート!$J$20:M115,4,FALSE)="","",VLOOKUP(F8,補助金拾い出し算出シート!$J$20:M115,4,FALSE)))</f>
        <v/>
      </c>
    </row>
    <row r="9" spans="1:15" x14ac:dyDescent="0.15">
      <c r="A9" s="241"/>
      <c r="B9" s="174" t="s">
        <v>551</v>
      </c>
      <c r="C9" s="175"/>
      <c r="D9" s="176"/>
      <c r="F9" s="29" t="str">
        <f>IFERROR(VLOOKUP(H9,補助金拾い出し算出シート!$H$20:L103,3,FALSE),"")</f>
        <v/>
      </c>
      <c r="G9" s="38" t="str">
        <f>IFERROR(VLOOKUP(H9,補助金拾い出し算出シート!$H$20:L105,2,FALSE),"")</f>
        <v/>
      </c>
      <c r="H9" s="72" t="str">
        <f>補助金拾い出し算出シート!H8</f>
        <v/>
      </c>
      <c r="I9" s="40" t="str">
        <f>IFERROR(VLOOKUP(H9,補助金拾い出し算出シート!$H$20:L103,4,FALSE),"")</f>
        <v/>
      </c>
      <c r="J9" s="73" t="str">
        <f>IF(F9="","",IF(VLOOKUP(F9,補助金拾い出し算出シート!$J$20:M116,4,FALSE)="","",VLOOKUP(F9,補助金拾い出し算出シート!$J$20:M116,4,FALSE)))</f>
        <v/>
      </c>
    </row>
    <row r="10" spans="1:15" x14ac:dyDescent="0.15">
      <c r="A10" s="241"/>
      <c r="B10" s="182" t="s">
        <v>665</v>
      </c>
      <c r="C10" s="182"/>
      <c r="D10" s="182"/>
      <c r="F10" s="29" t="str">
        <f>IFERROR(VLOOKUP(H10,補助金拾い出し算出シート!$H$20:L104,3,FALSE),"")</f>
        <v/>
      </c>
      <c r="G10" s="38" t="str">
        <f>IFERROR(VLOOKUP(H10,補助金拾い出し算出シート!$H$20:L105,2,FALSE),"")</f>
        <v/>
      </c>
      <c r="H10" s="72" t="str">
        <f>補助金拾い出し算出シート!H9</f>
        <v/>
      </c>
      <c r="I10" s="40" t="str">
        <f>IFERROR(VLOOKUP(H10,補助金拾い出し算出シート!$H$20:L104,4,FALSE),"")</f>
        <v/>
      </c>
      <c r="J10" s="73" t="str">
        <f>IF(F10="","",IF(VLOOKUP(F10,補助金拾い出し算出シート!$J$20:M117,4,FALSE)="","",VLOOKUP(F10,補助金拾い出し算出シート!$J$20:M117,4,FALSE)))</f>
        <v/>
      </c>
    </row>
    <row r="11" spans="1:15" x14ac:dyDescent="0.15">
      <c r="A11" s="241"/>
      <c r="B11" s="24" t="str">
        <f>IF(OR(AND(補助金拾い出し算出シート!D6=7,補助金拾い出し算出シート!D23&gt;=7),AND(補助金拾い出し算出シート!D6=1,補助金拾い出し算出シート!D23=3),AND(補助金拾い出し算出シート!D6=2,OR(補助金拾い出し算出シート!D23=5,補助金拾い出し算出シート!D23=7)),AND(補助金拾い出し算出シート!D6=3,OR(補助金拾い出し算出シート!D23=4,補助金拾い出し算出シート!D23=5,補助金拾い出し算出シート!D23=6,補助金拾い出し算出シート!D23=7)),AND(補助金拾い出し算出シート!D6=4,OR(補助金拾い出し算出シート!D23=4,補助金拾い出し算出シート!D23=6)),AND(補助金拾い出し算出シート!D6=5,補助金拾い出し算出シート!D23=1),AND(補助金拾い出し算出シート!D6=6,補助金拾い出し算出シート!D23=2)),"","↑計測ユニットの種類が合っていません")</f>
        <v/>
      </c>
      <c r="C11" s="23"/>
      <c r="D11" s="23"/>
      <c r="F11" s="29" t="str">
        <f>IFERROR(VLOOKUP(H11,補助金拾い出し算出シート!$H$20:L99,3,FALSE),"")</f>
        <v/>
      </c>
      <c r="G11" s="38" t="str">
        <f>IFERROR(VLOOKUP(H11,補助金拾い出し算出シート!$H$20:L106,2,FALSE),"")</f>
        <v/>
      </c>
      <c r="H11" s="151" t="str">
        <f>補助金拾い出し算出シート!H10</f>
        <v/>
      </c>
      <c r="I11" s="40" t="str">
        <f>IFERROR(VLOOKUP(H11,補助金拾い出し算出シート!$H$20:L99,4,FALSE),"")</f>
        <v/>
      </c>
      <c r="J11" s="73" t="str">
        <f>IF(F11="","",IF(VLOOKUP(F11,補助金拾い出し算出シート!$J$20:M118,4,FALSE)="","",VLOOKUP(F11,補助金拾い出し算出シート!$J$20:M118,4,FALSE)))</f>
        <v/>
      </c>
    </row>
    <row r="12" spans="1:15" x14ac:dyDescent="0.15">
      <c r="A12" s="241"/>
      <c r="B12" s="174" t="s">
        <v>552</v>
      </c>
      <c r="C12" s="175"/>
      <c r="D12" s="176"/>
      <c r="F12" s="29" t="str">
        <f>IFERROR(VLOOKUP(H12,補助金拾い出し算出シート!$H$20:L100,3,FALSE),"")</f>
        <v/>
      </c>
      <c r="G12" s="38" t="str">
        <f>IFERROR(VLOOKUP(H12,補助金拾い出し算出シート!$H$20:L107,2,FALSE),"")</f>
        <v/>
      </c>
      <c r="H12" s="151" t="str">
        <f>補助金拾い出し算出シート!H11</f>
        <v/>
      </c>
      <c r="I12" s="40" t="str">
        <f>IFERROR(VLOOKUP(H12,補助金拾い出し算出シート!$H$20:L100,4,FALSE),"")</f>
        <v/>
      </c>
      <c r="J12" s="36"/>
    </row>
    <row r="13" spans="1:15" x14ac:dyDescent="0.15">
      <c r="A13" s="241"/>
      <c r="B13" s="182" t="s">
        <v>284</v>
      </c>
      <c r="C13" s="182"/>
      <c r="D13" s="182"/>
      <c r="F13" s="153" t="str">
        <f>IFERROR(VLOOKUP(H13,補助金拾い出し算出シート!$H$20:L101,3,FALSE),"")</f>
        <v/>
      </c>
      <c r="G13" s="38" t="str">
        <f>IFERROR(VLOOKUP(H13,補助金拾い出し算出シート!$H$20:L108,2,FALSE),"")</f>
        <v/>
      </c>
      <c r="H13" s="151" t="str">
        <f>補助金拾い出し算出シート!H12</f>
        <v/>
      </c>
      <c r="I13" s="40" t="str">
        <f>IFERROR(VLOOKUP(H13,補助金拾い出し算出シート!$H$20:L101,4,FALSE),"")</f>
        <v/>
      </c>
      <c r="J13" s="36"/>
    </row>
    <row r="14" spans="1:15" ht="15" customHeight="1" thickBot="1" x14ac:dyDescent="0.2">
      <c r="A14" s="241"/>
      <c r="B14" s="255" t="str">
        <f>IF(OR(OR(補助金拾い出し算出シート!D55="132",補助金拾い出し算出シート!D55="133",補助金拾い出し算出シート!D55="134",補助金拾い出し算出シート!D55="135",補助金拾い出し算出シート!D55="512",補助金拾い出し算出シート!D55="513",補助金拾い出し算出シート!D55="624",補助金拾い出し算出シート!D55="625"),AND(補助金拾い出し算出シート!D2=0,補助金拾い出し算出シート!D54="27"),AND(補助金拾い出し算出シート!D2=0,補助金拾い出し算出シート!D54="37"),AND(補助金拾い出し算出シート!D2=0,補助金拾い出し算出シート!D54="47"),AND(補助金拾い出し算出シート!D2=0,補助金拾い出し算出シート!D54="57"),AND(補助金拾い出し算出シート!D2=0,補助金拾い出し算出シート!D54="67"),AND(補助金拾い出し算出シート!D2=0,補助金拾い出し算出シート!D54="77"),AND(補助金拾い出し算出シート!D2=0,補助金拾い出し算出シート!D54="87"),補助金拾い出し算出シート!D54="11",補助金拾い出し算出シート!D54="16",補助金拾い出し算出シート!D54="31",補助金拾い出し算出シート!D54="34",補助金拾い出し算出シート!D54="41",補助金拾い出し算出シート!D55="342",補助金拾い出し算出シート!D55="442",補助金拾い出し算出シート!D55="444",補助金拾い出し算出シート!D55="445",補助金拾い出し算出シート!D55="252",補助金拾い出し算出シート!D55="352",補助金拾い出し算出シート!D54="44",補助金拾い出し算出シート!D54="51",補助金拾い出し算出シート!D54="54"),"↑エネルギー計測/情報取集ユニットの種類が合っていません","")</f>
        <v/>
      </c>
      <c r="C14" s="255"/>
      <c r="D14" s="255"/>
      <c r="F14" s="154"/>
      <c r="G14" s="155" t="str">
        <f>IFERROR(VLOOKUP(H14,補助金拾い出し算出シート!$H$20:L109,2,FALSE),"")</f>
        <v/>
      </c>
      <c r="H14" s="156"/>
      <c r="I14" s="157" t="str">
        <f>IFERROR(VLOOKUP(H14,補助金拾い出し算出シート!$H$20:L102,4,FALSE),"")</f>
        <v/>
      </c>
    </row>
    <row r="15" spans="1:15" x14ac:dyDescent="0.15">
      <c r="A15" s="241"/>
      <c r="B15" s="174" t="s">
        <v>553</v>
      </c>
      <c r="C15" s="175"/>
      <c r="D15" s="176"/>
      <c r="F15" s="240" t="s">
        <v>61</v>
      </c>
      <c r="G15" s="240"/>
      <c r="H15" s="240"/>
      <c r="I15" s="240"/>
    </row>
    <row r="16" spans="1:15" ht="15" customHeight="1" x14ac:dyDescent="0.15">
      <c r="A16" s="241"/>
      <c r="B16" s="182" t="s">
        <v>1</v>
      </c>
      <c r="C16" s="182"/>
      <c r="D16" s="182"/>
      <c r="F16" s="194" t="s">
        <v>324</v>
      </c>
      <c r="G16" s="249"/>
      <c r="H16" s="249"/>
      <c r="I16" s="249"/>
    </row>
    <row r="17" spans="1:9" x14ac:dyDescent="0.15">
      <c r="A17" s="241"/>
      <c r="B17" s="252" t="str">
        <f>IF(OR(補助金拾い出し算出シート!D49="12",補助金拾い出し算出シート!D49="22",補助金拾い出し算出シート!D49="32",補助金拾い出し算出シート!D49="42",補助金拾い出し算出シート!D49="53"),"分電盤の組み合わせが異なります。",IF(OR(補助金拾い出し算出シート!D54="14",補助金拾い出し算出シート!D54="15"),"エネルギー計測ユニットが選択されている場合EcoEyeは選択できません。",IF(分岐回路選定表!I31=0,"分岐回路のCT選択は不要です。",分岐回路選定表!I31)))</f>
        <v>エネルギー計測ユニットが選択されている場合EcoEyeは選択できません。</v>
      </c>
      <c r="C17" s="252"/>
      <c r="D17" s="252"/>
      <c r="F17" s="249"/>
      <c r="G17" s="249"/>
      <c r="H17" s="249"/>
      <c r="I17" s="249"/>
    </row>
    <row r="18" spans="1:9" x14ac:dyDescent="0.15">
      <c r="A18" s="241"/>
      <c r="B18" s="253"/>
      <c r="C18" s="253"/>
      <c r="D18" s="253"/>
      <c r="F18" s="173" t="s">
        <v>598</v>
      </c>
      <c r="G18" s="173"/>
      <c r="H18" s="173"/>
      <c r="I18" s="173"/>
    </row>
    <row r="19" spans="1:9" ht="15" customHeight="1" x14ac:dyDescent="0.15">
      <c r="A19" s="241"/>
      <c r="B19" s="96"/>
      <c r="C19" s="96"/>
      <c r="D19" s="96"/>
      <c r="F19" s="173"/>
      <c r="G19" s="173"/>
      <c r="H19" s="173"/>
      <c r="I19" s="173"/>
    </row>
    <row r="20" spans="1:9" ht="15" customHeight="1" x14ac:dyDescent="0.15">
      <c r="A20" s="241"/>
      <c r="B20" s="250" t="s">
        <v>378</v>
      </c>
      <c r="C20" s="250"/>
      <c r="D20" s="250"/>
      <c r="F20" s="173" t="s">
        <v>287</v>
      </c>
      <c r="G20" s="173"/>
      <c r="H20" s="173"/>
      <c r="I20" s="173"/>
    </row>
    <row r="21" spans="1:9" ht="15" customHeight="1" x14ac:dyDescent="0.15">
      <c r="A21" s="241"/>
      <c r="B21" s="251"/>
      <c r="C21" s="251"/>
      <c r="D21" s="251"/>
      <c r="F21" s="173"/>
      <c r="G21" s="173"/>
      <c r="H21" s="173"/>
      <c r="I21" s="173"/>
    </row>
    <row r="22" spans="1:9" ht="15" customHeight="1" x14ac:dyDescent="0.15">
      <c r="A22" s="241"/>
      <c r="B22" s="174" t="str">
        <f>IF(OR(補助金拾い出し算出シート!D50=2,補助金拾い出し算出シート!D38=6),"拾い出し部材はありません(下記部材は拾い出されません)",IF(OR(補助金拾い出し算出シート!D55="514",補助金拾い出し算出シート!D55="515",補助金拾い出し算出シート!D55="622",補助金拾い出し算出シート!D55="623"),"⑥CT電流センサ(種類と数量)",IF(補助金拾い出し算出シート!D55="627","⑥分岐計測用電流センサ(種類と数量）",IF(OR(補助金拾い出し算出シート!D55="517"),"⑥電力計測用電流センサ(種類と数量)",IF(OR(補助金拾い出し算出シート!D95="23",補助金拾い出し算出シート!D55="621"),"⑥分岐計測用電流センサ(種類と数量)",IF(補助金拾い出し算出シート!D95="13","⑥電力計測用電流センサー(種類と数量）",IF(OR(補助金拾い出し算出シート!D54="37",補助金拾い出し算出シート!D54="47",補助金拾い出し算出シート!D54="57",補助金拾い出し算出シート!D54="67",補助金拾い出し算出シート!D54="77",補助金拾い出し算出シート!D54="87"),"⑥電流センサ増設用セット(種類と数量）")))))))</f>
        <v>⑥CT電流センサ(種類と数量)</v>
      </c>
      <c r="C22" s="175"/>
      <c r="D22" s="176"/>
      <c r="F22" s="173" t="s">
        <v>605</v>
      </c>
      <c r="G22" s="173"/>
      <c r="H22" s="173"/>
      <c r="I22" s="173"/>
    </row>
    <row r="23" spans="1:9" x14ac:dyDescent="0.15">
      <c r="A23" s="241"/>
      <c r="B23" s="75" t="s">
        <v>308</v>
      </c>
      <c r="C23" s="234" t="s">
        <v>386</v>
      </c>
      <c r="D23" s="235"/>
      <c r="F23" s="173"/>
      <c r="G23" s="173"/>
      <c r="H23" s="173"/>
      <c r="I23" s="173"/>
    </row>
    <row r="24" spans="1:9" x14ac:dyDescent="0.15">
      <c r="A24" s="241"/>
      <c r="B24" s="76" t="s">
        <v>307</v>
      </c>
      <c r="C24" s="254">
        <v>1</v>
      </c>
      <c r="D24" s="231"/>
      <c r="F24" s="173"/>
      <c r="G24" s="173"/>
      <c r="H24" s="173"/>
      <c r="I24" s="173"/>
    </row>
    <row r="25" spans="1:9" x14ac:dyDescent="0.15">
      <c r="A25" s="241"/>
      <c r="B25" s="232" t="str">
        <f>IF(補助金拾い出し算出シート!C55=1,"",IF(OR(AND(OR(補助金拾い出し算出シート!D55="622",補助金拾い出し算出シート!D55="623"),補助金拾い出し算出シート!E57=3),AND(OR(C24&lt;&gt;0),補助金拾い出し算出シート!F57=0)),"拾い出しの種類が異なります。変更して下さい。",IF(AND(補助金拾い出し算出シート!F57=1,補助金拾い出し算出シート!E57=1),"*標準は30Aです。複数の種類が必要な場合は別途QCASTで追加して下さい。",IF(AND(補助金拾い出し算出シート!F57=1,補助金拾い出し算出シート!E57=2),"*標準はφ16です。　複数の種類が必要な場合は別途Q.CASTで追加して下さい。",IF(AND(補助金拾い出し算出シート!F57=1,補助金拾い出し算出シート!E57=2),"*標準は内径14.5mmです。",IF(AND(補助金拾い出し算出シート!D23=1,補助金拾い出し算出シート!D38=3,C24&gt;2),"回路は2回路までで計測には条件がありますので、右表を確認して下さい。",""))))))</f>
        <v>拾い出しの種類が異なります。変更して下さい。</v>
      </c>
      <c r="C25" s="232"/>
      <c r="D25" s="232"/>
      <c r="F25" s="173"/>
      <c r="G25" s="173"/>
      <c r="H25" s="173"/>
      <c r="I25" s="173"/>
    </row>
    <row r="26" spans="1:9" x14ac:dyDescent="0.15">
      <c r="A26" s="241"/>
      <c r="B26" s="239"/>
      <c r="C26" s="239"/>
      <c r="D26" s="239"/>
      <c r="F26" s="1" t="s">
        <v>645</v>
      </c>
    </row>
    <row r="27" spans="1:9" x14ac:dyDescent="0.15">
      <c r="A27" s="241"/>
      <c r="B27" s="174" t="str">
        <f>IF(OR(補助金拾い出し算出シート!D50=2,補助金拾い出し算出シート!D38=6),"拾い出し部材はありません(下記部材は拾い出されません)",IF(OR(補助金拾い出し算出シート!D55="627",補助金拾い出し算出シート!D55="621"),"⑦分岐計測用電流センサケーブル(種類と数量）",IF(OR(補助金拾い出し算出シート!D54="17",補助金拾い出し算出シート!D54="37",補助金拾い出し算出シート!D54="47",補助金拾い出し算出シート!D54="57",補助金拾い出し算出シート!D54="67",補助金拾い出し算出シート!D54="77",補助金拾い出し算出シート!D54="87",補助金拾い出し算出シート!D54="21"),"⑦個別電力計測用電流センサー(種類と数量）",IF(OR(補助金拾い出し算出シート!D95="23",補助金拾い出し算出シート!D95="21"),"⑦分岐計測用電流センサケーブル(長さと数量)",IF(補助金拾い出し算出シート!D95="13","⑦個別電力計測用電流センサー(種類と数量）","⑦CT用ケーブル選択(長さと数量)")))))</f>
        <v>⑦CT用ケーブル選択(長さと数量)</v>
      </c>
      <c r="C27" s="175"/>
      <c r="D27" s="176"/>
      <c r="E27" s="2"/>
      <c r="F27" s="1" t="s">
        <v>644</v>
      </c>
    </row>
    <row r="28" spans="1:9" x14ac:dyDescent="0.15">
      <c r="A28" s="241"/>
      <c r="B28" s="75" t="s">
        <v>308</v>
      </c>
      <c r="C28" s="234" t="s">
        <v>388</v>
      </c>
      <c r="D28" s="235"/>
      <c r="E28" s="2"/>
      <c r="F28" s="1" t="s">
        <v>288</v>
      </c>
    </row>
    <row r="29" spans="1:9" x14ac:dyDescent="0.15">
      <c r="A29" s="241"/>
      <c r="B29" s="75" t="s">
        <v>307</v>
      </c>
      <c r="C29" s="230">
        <v>1</v>
      </c>
      <c r="D29" s="231"/>
      <c r="E29" s="2"/>
    </row>
    <row r="30" spans="1:9" x14ac:dyDescent="0.15">
      <c r="A30" s="241"/>
      <c r="B30" s="232" t="str">
        <f>IF(補助金拾い出し算出シート!C71=1,"",IF(OR(AND(C29&lt;&gt;0,補助金拾い出し算出シート!F73=0),AND(OR(補助金拾い出し算出シート!D55="622",補助金拾い出し算出シート!D55="623"),補助金拾い出し算出シート!E73=3)),"拾い出しの種類が異なります。変更して下さい",IF(補助金拾い出し算出シート!C71=1,"",IF(補助金拾い出し算出シート!E73=3,"*分岐ケーブル1本で2つの分岐回路を測定できます。",IF(AND(C29&lt;&gt;0,補助金拾い出し算出シート!F73=0),"拾い出しの種類が異なります。変更して下さい。",IF(補助金拾い出し算出シート!E73=補助金拾い出し算出シート!F73,"複数の種類が必要な場合は別途Q.CASTで追加して下さい。",IF(AND(補助金拾い出し算出シート!D23=1,補助金拾い出し算出シート!D38=4,C24&gt;2),"回路は2回路までで計測には条件がありますので、右表を確認して下さい。",IF(AND(補助金拾い出し算出シート!D23=1,OR(補助金拾い出し算出シート!D38=2,補助金拾い出し算出シート!D38=3)),"回路は14回路までです",""))))))))</f>
        <v>拾い出しの種類が異なります。変更して下さい</v>
      </c>
      <c r="C30" s="232"/>
      <c r="D30" s="232"/>
      <c r="E30" s="2"/>
    </row>
    <row r="31" spans="1:9" x14ac:dyDescent="0.15">
      <c r="A31" s="241"/>
      <c r="B31" s="233"/>
      <c r="C31" s="233"/>
      <c r="D31" s="233"/>
      <c r="E31" s="2"/>
    </row>
    <row r="32" spans="1:9" x14ac:dyDescent="0.15">
      <c r="A32" s="241"/>
      <c r="B32" s="174" t="str">
        <f>IF(補助金拾い出し算出シート!D50=2,"拾い出し部材はありません(下記部材は拾い出されません)",IF(OR(補助金拾い出し算出シート!D55="514",補助金拾い出し算出シート!D55="515"),"⑧電力計測電流センサ(種類と数量）",IF(OR(補助金拾い出し算出シート!D55="627",補助金拾い出し算出シート!D55="621",補助金拾い出し算出シート!D55="622",補助金拾い出し算出シート!D55="623"),"⑧主幹/外部発電機用電流センサ(種類と数量)",IF(OR(補助金拾い出し算出シート!D55="517"),"⑧発電電力計測用電流センサ(種類と数量)",IF(補助金拾い出し算出シート!D55="627","⑧主幹/外部発電機用電流センサ(数量)",IF(OR(補助金拾い出し算出シート!D54="37",補助金拾い出し算出シート!D54="47",補助金拾い出し算出シート!D54="57",補助金拾い出し算出シート!D54="67",補助金拾い出し算出シート!D54="77",補助金拾い出し算出シート!D54="87"),"⑧電流センサ増設用ケーブル(種類と数量)","拾い出し部材はありません(下記部材は拾い出されません)"))))))</f>
        <v>⑧電力計測電流センサ(種類と数量）</v>
      </c>
      <c r="C32" s="175"/>
      <c r="D32" s="176"/>
    </row>
    <row r="33" spans="1:5" x14ac:dyDescent="0.15">
      <c r="A33" s="241"/>
      <c r="B33" s="75" t="s">
        <v>308</v>
      </c>
      <c r="C33" s="234" t="s">
        <v>387</v>
      </c>
      <c r="D33" s="235"/>
      <c r="E33" s="2"/>
    </row>
    <row r="34" spans="1:5" x14ac:dyDescent="0.15">
      <c r="A34" s="241"/>
      <c r="B34" s="75" t="s">
        <v>8</v>
      </c>
      <c r="C34" s="230">
        <v>1</v>
      </c>
      <c r="D34" s="231"/>
    </row>
    <row r="35" spans="1:5" x14ac:dyDescent="0.15">
      <c r="A35" s="241"/>
      <c r="B35" s="232" t="str">
        <f>IF(AND(C34&lt;&gt;0,補助金拾い出し算出シート!F89=0),"拾い出しの種類が異なります。変更して下さい。",IF(補助金拾い出し算出シート!E89=3,"*外部発電機計測は1回路のみです。エネファーム、エコウィルは接続できません。",IF(補助金拾い出し算出シート!E89=補助金拾い出し算出シート!F89,"複数の種類が必要な場合は別途Q.CASTで追加して下さい。","")))</f>
        <v>拾い出しの種類が異なります。変更して下さい。</v>
      </c>
      <c r="C35" s="232"/>
      <c r="D35" s="232"/>
    </row>
    <row r="36" spans="1:5" x14ac:dyDescent="0.15">
      <c r="A36" s="241"/>
      <c r="B36" s="239"/>
      <c r="C36" s="239"/>
      <c r="D36" s="239"/>
      <c r="E36" s="2"/>
    </row>
    <row r="37" spans="1:5" x14ac:dyDescent="0.15">
      <c r="A37" s="241"/>
      <c r="B37" s="174" t="str">
        <f>IF(補助金拾い出し算出シート!D50=2,"拾い出し部材はありません(下記部材は拾い出されません)",IF(OR(補助金拾い出し算出シート!D55="627",補助金拾い出し算出シート!D55="621",補助金拾い出し算出シート!D55="622",補助金拾い出し算出シート!D55="623"),"⑨外部発電機用電流センサケーブル(長さと数量)","拾い出し部材はありません(下記部材は拾い出されません)"))</f>
        <v>拾い出し部材はありません(下記部材は拾い出されません)</v>
      </c>
      <c r="C37" s="175"/>
      <c r="D37" s="176"/>
      <c r="E37" s="2"/>
    </row>
    <row r="38" spans="1:5" x14ac:dyDescent="0.15">
      <c r="A38" s="241"/>
      <c r="B38" s="75" t="s">
        <v>308</v>
      </c>
      <c r="C38" s="234" t="s">
        <v>354</v>
      </c>
      <c r="D38" s="235"/>
    </row>
    <row r="39" spans="1:5" x14ac:dyDescent="0.15">
      <c r="A39" s="241"/>
      <c r="B39" s="75" t="s">
        <v>8</v>
      </c>
      <c r="C39" s="242">
        <v>1</v>
      </c>
      <c r="D39" s="242"/>
    </row>
    <row r="40" spans="1:5" x14ac:dyDescent="0.15">
      <c r="A40" s="241"/>
      <c r="B40" s="243" t="str">
        <f>IF(AND(C39&lt;&gt;0,補助金拾い出し算出シート!F102=0),"拾い出しの種類が異なります。変更して下さい。","")</f>
        <v/>
      </c>
      <c r="C40" s="243"/>
      <c r="D40" s="243"/>
    </row>
    <row r="41" spans="1:5" x14ac:dyDescent="0.15">
      <c r="A41" s="241"/>
      <c r="B41" s="244"/>
      <c r="C41" s="244"/>
      <c r="D41" s="244"/>
      <c r="E41" s="2"/>
    </row>
    <row r="42" spans="1:5" x14ac:dyDescent="0.15">
      <c r="A42" s="241"/>
      <c r="B42" s="236" t="str">
        <f>IF(補助金拾い出し算出シート!D50=2,"拾い出し部材はありません(下記部材は拾い出されません)",IF(OR(,補助金拾い出し算出シート!D55="622",補助金拾い出し算出シート!D55="623"),"⑩分岐計測用電流センサ(長さと数量)","拾い出し部材はありません(下記部材は拾い出されません)"))</f>
        <v>拾い出し部材はありません(下記部材は拾い出されません)</v>
      </c>
      <c r="C42" s="237"/>
      <c r="D42" s="238"/>
    </row>
    <row r="43" spans="1:5" x14ac:dyDescent="0.15">
      <c r="B43" s="150" t="s">
        <v>308</v>
      </c>
      <c r="C43" s="228" t="s">
        <v>377</v>
      </c>
      <c r="D43" s="229"/>
    </row>
    <row r="44" spans="1:5" x14ac:dyDescent="0.15">
      <c r="B44" s="150" t="s">
        <v>8</v>
      </c>
      <c r="C44" s="230">
        <v>1</v>
      </c>
      <c r="D44" s="231"/>
    </row>
    <row r="45" spans="1:5" x14ac:dyDescent="0.15">
      <c r="B45" s="226"/>
      <c r="C45" s="226"/>
      <c r="D45" s="226"/>
    </row>
    <row r="46" spans="1:5" x14ac:dyDescent="0.15">
      <c r="B46" s="227"/>
      <c r="C46" s="227"/>
      <c r="D46" s="227"/>
    </row>
    <row r="47" spans="1:5" x14ac:dyDescent="0.15">
      <c r="B47" s="221" t="str">
        <f>IF(補助金拾い出し算出シート!D50=2,"拾い出し部材はありません(下記部材は拾い出されません)",IF(OR(,補助金拾い出し算出シート!D55="622",補助金拾い出し算出シート!D55="623"),"⑪分岐計測用電流センサケーブル(長さと数量)","拾い出し部材はありません(下記部材は拾い出されません)"))</f>
        <v>拾い出し部材はありません(下記部材は拾い出されません)</v>
      </c>
      <c r="C47" s="222"/>
      <c r="D47" s="223"/>
    </row>
    <row r="48" spans="1:5" x14ac:dyDescent="0.15">
      <c r="B48" s="150" t="s">
        <v>308</v>
      </c>
      <c r="C48" s="171" t="s">
        <v>351</v>
      </c>
      <c r="D48" s="171"/>
    </row>
    <row r="49" spans="2:4" x14ac:dyDescent="0.15">
      <c r="B49" s="150" t="s">
        <v>8</v>
      </c>
      <c r="C49" s="171">
        <v>1</v>
      </c>
      <c r="D49" s="171"/>
    </row>
    <row r="50" spans="2:4" x14ac:dyDescent="0.15">
      <c r="B50" s="224" t="str">
        <f>IF(OR(補助金拾い出し算出シート!D55="622",補助金拾い出し算出シート!D55="623"),"*分岐ケーブル1本で2つの分岐回路を測定できます。","")</f>
        <v/>
      </c>
      <c r="C50" s="224"/>
      <c r="D50" s="224"/>
    </row>
    <row r="51" spans="2:4" ht="18.600000000000001" customHeight="1" x14ac:dyDescent="0.15">
      <c r="B51" s="225"/>
      <c r="C51" s="225"/>
      <c r="D51" s="225"/>
    </row>
  </sheetData>
  <sheetProtection selectLockedCells="1"/>
  <mergeCells count="46">
    <mergeCell ref="B13:D13"/>
    <mergeCell ref="B40:D41"/>
    <mergeCell ref="B4:D4"/>
    <mergeCell ref="B3:D3"/>
    <mergeCell ref="F16:I17"/>
    <mergeCell ref="B25:D26"/>
    <mergeCell ref="B16:D16"/>
    <mergeCell ref="F20:I21"/>
    <mergeCell ref="C23:D23"/>
    <mergeCell ref="F22:I25"/>
    <mergeCell ref="B20:D21"/>
    <mergeCell ref="B22:D22"/>
    <mergeCell ref="B17:D18"/>
    <mergeCell ref="C24:D24"/>
    <mergeCell ref="B14:D14"/>
    <mergeCell ref="B10:D10"/>
    <mergeCell ref="B12:D12"/>
    <mergeCell ref="C38:D38"/>
    <mergeCell ref="B35:D36"/>
    <mergeCell ref="A1:O1"/>
    <mergeCell ref="B2:D2"/>
    <mergeCell ref="F2:I2"/>
    <mergeCell ref="F15:I15"/>
    <mergeCell ref="B6:D6"/>
    <mergeCell ref="B7:D7"/>
    <mergeCell ref="B9:D9"/>
    <mergeCell ref="A3:A42"/>
    <mergeCell ref="C28:D28"/>
    <mergeCell ref="C29:D29"/>
    <mergeCell ref="C39:D39"/>
    <mergeCell ref="B32:D32"/>
    <mergeCell ref="F18:I19"/>
    <mergeCell ref="B37:D37"/>
    <mergeCell ref="B30:D31"/>
    <mergeCell ref="C48:D48"/>
    <mergeCell ref="B15:D15"/>
    <mergeCell ref="B27:D27"/>
    <mergeCell ref="C33:D33"/>
    <mergeCell ref="C34:D34"/>
    <mergeCell ref="B42:D42"/>
    <mergeCell ref="C49:D49"/>
    <mergeCell ref="B47:D47"/>
    <mergeCell ref="B50:D51"/>
    <mergeCell ref="B45:D46"/>
    <mergeCell ref="C43:D43"/>
    <mergeCell ref="C44:D44"/>
  </mergeCells>
  <phoneticPr fontId="1"/>
  <dataValidations count="1">
    <dataValidation type="list" allowBlank="1" showInputMessage="1" showErrorMessage="1" sqref="B4:D4">
      <formula1>補助金種類</formula1>
    </dataValidation>
  </dataValidations>
  <pageMargins left="0.7" right="0.7" top="0.75" bottom="0.75" header="0.3" footer="0.3"/>
  <pageSetup paperSize="9" scale="61" orientation="landscape"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14:formula1>
            <xm:f>INDIRECT(補助金拾い出し算出シート!$C$2)</xm:f>
          </x14:formula1>
          <xm:sqref>B7:D7</xm:sqref>
        </x14:dataValidation>
        <x14:dataValidation type="list" allowBlank="1" showInputMessage="1" showErrorMessage="1">
          <x14:formula1>
            <xm:f>INDIRECT(補助金拾い出し算出シート!$C$49)</xm:f>
          </x14:formula1>
          <xm:sqref>B16:D16</xm:sqref>
        </x14:dataValidation>
        <x14:dataValidation type="list" allowBlank="1" showInputMessage="1" showErrorMessage="1">
          <x14:formula1>
            <xm:f>INDIRECT(補助金拾い出し算出シート!$C$38)</xm:f>
          </x14:formula1>
          <xm:sqref>B13:D13</xm:sqref>
        </x14:dataValidation>
        <x14:dataValidation type="list" allowBlank="1" showInputMessage="1" showErrorMessage="1">
          <x14:formula1>
            <xm:f>INDIRECT(補助金拾い出し算出シート!$C$22)</xm:f>
          </x14:formula1>
          <xm:sqref>B10:D10</xm:sqref>
        </x14:dataValidation>
        <x14:dataValidation type="list" allowBlank="1" showInputMessage="1" showErrorMessage="1">
          <x14:formula1>
            <xm:f>INDIRECT(補助金拾い出し算出シート!$C$89)</xm:f>
          </x14:formula1>
          <xm:sqref>C33:D33</xm:sqref>
        </x14:dataValidation>
        <x14:dataValidation type="list" allowBlank="1" showInputMessage="1" showErrorMessage="1">
          <x14:formula1>
            <xm:f>INDIRECT(補助金拾い出し算出シート!$C$102)</xm:f>
          </x14:formula1>
          <xm:sqref>C38:D38</xm:sqref>
        </x14:dataValidation>
        <x14:dataValidation type="list" allowBlank="1" showInputMessage="1" showErrorMessage="1">
          <x14:formula1>
            <xm:f>INDIRECT(補助金拾い出し算出シート!$C$56)</xm:f>
          </x14:formula1>
          <xm:sqref>C23</xm:sqref>
        </x14:dataValidation>
        <x14:dataValidation type="list" allowBlank="1" showInputMessage="1" showErrorMessage="1">
          <x14:formula1>
            <xm:f>INDIRECT(補助金拾い出し算出シート!$C$72)</xm:f>
          </x14:formula1>
          <xm:sqref>C28:D28</xm:sqref>
        </x14:dataValidation>
        <x14:dataValidation type="list" allowBlank="1" showInputMessage="1" showErrorMessage="1">
          <x14:formula1>
            <xm:f>INDIRECT(補助金拾い出し算出シート!$C$114)</xm:f>
          </x14:formula1>
          <xm:sqref>C48:D48</xm:sqref>
        </x14:dataValidation>
        <x14:dataValidation type="list" allowBlank="1" showInputMessage="1" showErrorMessage="1">
          <x14:formula1>
            <xm:f>INDIRECT(補助金拾い出し算出シート!C110)</xm:f>
          </x14:formula1>
          <xm:sqref>C43:D43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A119"/>
  <sheetViews>
    <sheetView topLeftCell="A82" zoomScale="70" zoomScaleNormal="70" workbookViewId="0">
      <selection activeCell="D16" sqref="D16"/>
    </sheetView>
  </sheetViews>
  <sheetFormatPr defaultColWidth="8.875" defaultRowHeight="15.75" x14ac:dyDescent="0.15"/>
  <cols>
    <col min="1" max="1" width="56.5" style="4" bestFit="1" customWidth="1"/>
    <col min="2" max="2" width="37.125" style="4" bestFit="1" customWidth="1"/>
    <col min="3" max="3" width="38.5" style="4" customWidth="1"/>
    <col min="4" max="4" width="25.625" style="4" bestFit="1" customWidth="1"/>
    <col min="5" max="5" width="7.875" style="3" bestFit="1" customWidth="1"/>
    <col min="6" max="6" width="7.875" style="4" bestFit="1" customWidth="1"/>
    <col min="7" max="7" width="7.875" style="4" customWidth="1"/>
    <col min="8" max="8" width="45.5" style="4" bestFit="1" customWidth="1"/>
    <col min="9" max="9" width="7.5" style="4" bestFit="1" customWidth="1"/>
    <col min="10" max="10" width="51.75" style="15" bestFit="1" customWidth="1"/>
    <col min="11" max="11" width="7.5" style="3" bestFit="1" customWidth="1"/>
    <col min="12" max="12" width="6.125" style="3" bestFit="1" customWidth="1"/>
    <col min="13" max="34" width="8.875" style="3" customWidth="1"/>
    <col min="35" max="48" width="8.875" style="4" customWidth="1"/>
    <col min="49" max="16384" width="8.875" style="4"/>
  </cols>
  <sheetData>
    <row r="1" spans="1:35" x14ac:dyDescent="0.15">
      <c r="A1" s="4" t="s">
        <v>0</v>
      </c>
      <c r="B1" s="4" t="s">
        <v>38</v>
      </c>
      <c r="C1" s="4" t="s">
        <v>104</v>
      </c>
      <c r="E1" s="3" t="s">
        <v>39</v>
      </c>
      <c r="F1" s="4" t="s">
        <v>40</v>
      </c>
      <c r="J1" s="14"/>
      <c r="K1" s="41"/>
      <c r="L1" s="41"/>
      <c r="M1" s="41"/>
      <c r="N1" s="41"/>
      <c r="O1" s="41"/>
      <c r="P1" s="41"/>
      <c r="Q1" s="41"/>
      <c r="R1" s="41"/>
      <c r="S1" s="41"/>
      <c r="T1" s="41"/>
      <c r="U1" s="41"/>
      <c r="V1" s="41"/>
      <c r="W1" s="41"/>
      <c r="X1" s="41"/>
      <c r="Y1" s="41"/>
      <c r="Z1" s="41"/>
      <c r="AA1" s="41"/>
      <c r="AB1" s="41"/>
      <c r="AC1" s="41"/>
      <c r="AD1" s="41"/>
      <c r="AE1" s="41"/>
      <c r="AF1" s="41"/>
      <c r="AG1" s="41"/>
      <c r="AH1" s="41"/>
      <c r="AI1" s="53"/>
    </row>
    <row r="2" spans="1:35" x14ac:dyDescent="0.15">
      <c r="A2" s="4" t="s">
        <v>188</v>
      </c>
      <c r="B2" s="4" t="s">
        <v>188</v>
      </c>
      <c r="C2" s="4" t="str">
        <f>VLOOKUP(ZEH等補助金対応システムの見積作成!B4,A2:B3,2,FALSE)</f>
        <v>ZEH</v>
      </c>
      <c r="D2" s="4">
        <f>IF(C2="ZEH",1,0)</f>
        <v>1</v>
      </c>
      <c r="E2" s="3">
        <v>1</v>
      </c>
      <c r="H2" s="4" t="s">
        <v>255</v>
      </c>
      <c r="K2" s="54"/>
      <c r="L2" s="54"/>
      <c r="M2" s="54"/>
      <c r="N2" s="54"/>
      <c r="O2" s="54"/>
      <c r="P2" s="54"/>
      <c r="Q2" s="54"/>
      <c r="R2" s="54"/>
      <c r="S2" s="54"/>
      <c r="T2" s="54"/>
      <c r="U2" s="54"/>
      <c r="V2" s="54"/>
      <c r="W2" s="55"/>
      <c r="X2" s="55"/>
      <c r="Y2" s="55"/>
      <c r="Z2" s="55"/>
      <c r="AA2" s="55"/>
      <c r="AB2" s="55"/>
      <c r="AC2" s="55"/>
      <c r="AD2" s="55"/>
      <c r="AE2" s="55"/>
      <c r="AF2" s="55"/>
      <c r="AG2" s="55"/>
      <c r="AH2" s="55"/>
      <c r="AI2" s="53"/>
    </row>
    <row r="3" spans="1:35" x14ac:dyDescent="0.15">
      <c r="A3" s="4" t="s">
        <v>189</v>
      </c>
      <c r="B3" s="4" t="s">
        <v>247</v>
      </c>
      <c r="E3" s="3">
        <v>2</v>
      </c>
      <c r="G3" s="4">
        <v>1</v>
      </c>
      <c r="H3" s="4" t="str">
        <f>IFERROR(VLOOKUP(G3,$I$3:$J$18,2,FALSE),"")</f>
        <v>HQ-D-M06H-1M</v>
      </c>
      <c r="I3" s="4">
        <v>1</v>
      </c>
      <c r="J3" s="15" t="str">
        <f>IF(H18=0,"",IF(D38=6,"AiSEG2見積もり作成シートで別途拾い出して下さい",C24))</f>
        <v>HQ-D-M06H-1M</v>
      </c>
      <c r="K3" s="3">
        <f>IF(J3&lt;&gt;"",VLOOKUP(J3,$H$21:$K$61,4,FALSE),"")</f>
        <v>1</v>
      </c>
      <c r="M3" s="41"/>
      <c r="N3" s="41"/>
      <c r="O3" s="41"/>
      <c r="P3" s="41"/>
      <c r="Q3" s="41"/>
      <c r="R3" s="41"/>
      <c r="S3" s="41"/>
      <c r="T3" s="41"/>
      <c r="U3" s="41"/>
      <c r="V3" s="41"/>
      <c r="W3" s="41"/>
      <c r="X3" s="41"/>
      <c r="Y3" s="41"/>
      <c r="Z3" s="41"/>
      <c r="AA3" s="41"/>
      <c r="AB3" s="41"/>
      <c r="AC3" s="41"/>
      <c r="AD3" s="41"/>
      <c r="AE3" s="41"/>
      <c r="AF3" s="41"/>
      <c r="AG3" s="41"/>
      <c r="AH3" s="41"/>
      <c r="AI3" s="53"/>
    </row>
    <row r="4" spans="1:35" x14ac:dyDescent="0.15">
      <c r="G4" s="4">
        <v>2</v>
      </c>
      <c r="H4" s="4" t="str">
        <f>IF($H$18=0,"",IFERROR(VLOOKUP(G4,$I$3:$J$18,2,FALSE),""))</f>
        <v>HM-EM03-E</v>
      </c>
      <c r="I4" s="4" t="str">
        <f>IF(OR(K4=0,K4="",K4="なし"),"",IF(J4&lt;&gt;"",MAX($I$3)+1,""))</f>
        <v/>
      </c>
      <c r="J4" s="15" t="str">
        <f>IF(D38=6,"",IF(OR(F22=10,F22=12,F22=14),C25,""))</f>
        <v/>
      </c>
      <c r="K4" s="89" t="str">
        <f>IF(J4&lt;&gt;"",VLOOKUP(J4,$H$21:$K$61,4,FALSE),"")</f>
        <v/>
      </c>
      <c r="M4" s="41"/>
      <c r="N4" s="41"/>
      <c r="O4" s="41"/>
      <c r="P4" s="41"/>
      <c r="Q4" s="41"/>
      <c r="R4" s="41"/>
      <c r="S4" s="41"/>
      <c r="T4" s="41"/>
      <c r="U4" s="41"/>
      <c r="V4" s="41"/>
      <c r="W4" s="41"/>
      <c r="X4" s="41"/>
      <c r="Y4" s="41"/>
      <c r="Z4" s="41"/>
      <c r="AA4" s="41"/>
      <c r="AB4" s="41"/>
      <c r="AC4" s="41"/>
      <c r="AD4" s="41"/>
      <c r="AE4" s="41"/>
      <c r="AF4" s="41"/>
      <c r="AG4" s="41"/>
      <c r="AH4" s="41"/>
      <c r="AI4" s="53"/>
    </row>
    <row r="5" spans="1:35" x14ac:dyDescent="0.15">
      <c r="A5" s="4" t="s">
        <v>225</v>
      </c>
      <c r="F5" s="4">
        <f>VLOOKUP(ZEH等補助金対応システムの見積作成!B7,補助金拾い出し算出シート!A6:F19,6,FALSE)</f>
        <v>6</v>
      </c>
      <c r="G5" s="4">
        <v>3</v>
      </c>
      <c r="H5" s="4" t="str">
        <f t="shared" ref="H5:H10" si="0">IF($H$18=0,"",IFERROR(VLOOKUP(G5,$I$3:$J$18,2,FALSE),""))</f>
        <v>POK-C018G</v>
      </c>
      <c r="I5" s="4" t="str">
        <f>IF(OR(K5=0,K5="",K5="なし"),"",IF(J5&lt;&gt;"",MAX($I$3:I4)+1,""))</f>
        <v/>
      </c>
      <c r="J5" s="15" t="str">
        <f>IF(D38=6,"",IF(OR(F22=5,F22=6,F22=9,F22=10,F22=11),C26,""))</f>
        <v/>
      </c>
      <c r="K5" s="89" t="str">
        <f>IF(J5&lt;&gt;"",VLOOKUP(J5,$H$21:$K$61,4,FALSE),"")</f>
        <v/>
      </c>
      <c r="M5" s="41"/>
      <c r="N5" s="41"/>
      <c r="O5" s="41"/>
      <c r="P5" s="41"/>
      <c r="Q5" s="41"/>
      <c r="R5" s="41"/>
      <c r="S5" s="41"/>
      <c r="T5" s="41"/>
      <c r="U5" s="41"/>
      <c r="V5" s="41"/>
      <c r="W5" s="41"/>
      <c r="X5" s="41"/>
      <c r="Y5" s="41"/>
      <c r="Z5" s="41"/>
      <c r="AA5" s="41"/>
      <c r="AB5" s="41"/>
      <c r="AC5" s="41"/>
      <c r="AD5" s="41"/>
      <c r="AE5" s="41"/>
      <c r="AF5" s="41"/>
      <c r="AG5" s="41"/>
      <c r="AH5" s="41"/>
      <c r="AI5" s="53"/>
    </row>
    <row r="6" spans="1:35" x14ac:dyDescent="0.15">
      <c r="A6" s="4" t="s">
        <v>321</v>
      </c>
      <c r="B6" s="4" t="str">
        <f>IF($C$2="ZEH","HQJBH55RA1N","HQJBH55RA1P")</f>
        <v>HQJBH55RA1N</v>
      </c>
      <c r="C6" s="4" t="str">
        <f>VLOOKUP(ZEH等補助金対応システムの見積作成!B7,A6:B19,2,FALSE)</f>
        <v>HQDK401</v>
      </c>
      <c r="D6" s="4">
        <f>VLOOKUP(ZEH等補助金対応システムの見積作成!B7,補助金拾い出し算出シート!A6:E19,5,FALSE)</f>
        <v>5</v>
      </c>
      <c r="E6" s="3">
        <v>1</v>
      </c>
      <c r="F6" s="4">
        <v>1</v>
      </c>
      <c r="G6" s="4">
        <v>4</v>
      </c>
      <c r="H6" s="4" t="str">
        <f t="shared" si="0"/>
        <v>POK-S016</v>
      </c>
      <c r="I6" s="4">
        <f>IF(OR(K6=0,K6="",K6="なし"),"",IF(J6&lt;&gt;"",MAX($I$3:I5)+1,""))</f>
        <v>2</v>
      </c>
      <c r="J6" s="15" t="str">
        <f>IF($D$38=6,"",C41)</f>
        <v>HM-EM03-E</v>
      </c>
      <c r="K6" s="89">
        <f t="shared" ref="K6" si="1">IF(J6&lt;&gt;"",VLOOKUP(J6,$H$21:$K$61,4,FALSE),"")</f>
        <v>1</v>
      </c>
      <c r="M6" s="41"/>
      <c r="N6" s="41"/>
      <c r="O6" s="41"/>
      <c r="P6" s="41"/>
      <c r="Q6" s="41"/>
      <c r="R6" s="41"/>
      <c r="S6" s="41"/>
      <c r="T6" s="41"/>
      <c r="U6" s="41"/>
      <c r="V6" s="41"/>
      <c r="W6" s="41"/>
      <c r="X6" s="41"/>
      <c r="Y6" s="41"/>
      <c r="Z6" s="41"/>
      <c r="AA6" s="41"/>
      <c r="AB6" s="41"/>
      <c r="AC6" s="41"/>
      <c r="AD6" s="41"/>
      <c r="AE6" s="41"/>
      <c r="AF6" s="41"/>
      <c r="AG6" s="41"/>
      <c r="AH6" s="41"/>
      <c r="AI6" s="53"/>
    </row>
    <row r="7" spans="1:35" x14ac:dyDescent="0.15">
      <c r="A7" s="4" t="s">
        <v>242</v>
      </c>
      <c r="B7" s="4" t="str">
        <f>IF($C$2="ZEH","HQJPK30A2N","HQJPK30A2P")</f>
        <v>HQJPK30A2N</v>
      </c>
      <c r="E7" s="3">
        <v>2</v>
      </c>
      <c r="F7" s="4">
        <v>2</v>
      </c>
      <c r="G7" s="4">
        <v>5</v>
      </c>
      <c r="H7" s="4" t="str">
        <f t="shared" si="0"/>
        <v>POK-C100X</v>
      </c>
      <c r="I7" s="4" t="str">
        <f>IF(OR(K7=0,K7="",K7="なし"),"",IF(J7&lt;&gt;"",MAX($I$3:I6)+1,""))</f>
        <v/>
      </c>
      <c r="J7" s="15" t="str">
        <f>IF($D$38=6,"",C42)</f>
        <v/>
      </c>
      <c r="K7" s="89" t="str">
        <f t="shared" ref="K7:K18" si="2">IF(J7&lt;&gt;"",VLOOKUP(J7,$H$21:$K$61,4,FALSE),"")</f>
        <v/>
      </c>
      <c r="M7" s="41"/>
      <c r="N7" s="41"/>
      <c r="O7" s="41"/>
      <c r="P7" s="41"/>
      <c r="Q7" s="41"/>
      <c r="R7" s="41"/>
      <c r="S7" s="41"/>
      <c r="T7" s="41"/>
      <c r="U7" s="41"/>
      <c r="V7" s="41"/>
      <c r="W7" s="41"/>
      <c r="X7" s="41"/>
      <c r="Y7" s="41"/>
      <c r="Z7" s="41"/>
      <c r="AA7" s="41"/>
      <c r="AB7" s="41"/>
      <c r="AC7" s="41"/>
      <c r="AD7" s="41"/>
      <c r="AE7" s="41"/>
      <c r="AF7" s="41"/>
      <c r="AG7" s="41"/>
      <c r="AH7" s="41"/>
      <c r="AI7" s="53"/>
    </row>
    <row r="8" spans="1:35" x14ac:dyDescent="0.15">
      <c r="A8" s="4" t="s">
        <v>243</v>
      </c>
      <c r="B8" s="4" t="str">
        <f>IF($C$2="ZEH","HQJPK40A2N","HQJPK40A2P")</f>
        <v>HQJPK40A2N</v>
      </c>
      <c r="E8" s="3">
        <v>2</v>
      </c>
      <c r="F8" s="4">
        <v>2</v>
      </c>
      <c r="G8" s="4">
        <v>6</v>
      </c>
      <c r="H8" s="4" t="str">
        <f t="shared" si="0"/>
        <v/>
      </c>
      <c r="I8" s="4">
        <f>IF(OR(K8=0,K8="",K8="なし"),"",IF(J8&lt;&gt;"",MAX($I$3:I7)+1,""))</f>
        <v>3</v>
      </c>
      <c r="J8" s="15" t="str">
        <f>IF(D38=6,"",IF(OR(C57="",C57="なし"),"",C57))</f>
        <v>POK-C018G</v>
      </c>
      <c r="K8" s="89">
        <f t="shared" si="2"/>
        <v>1</v>
      </c>
      <c r="M8" s="41"/>
      <c r="N8" s="41"/>
      <c r="O8" s="41"/>
      <c r="P8" s="41"/>
      <c r="Q8" s="41"/>
      <c r="R8" s="41"/>
      <c r="S8" s="41"/>
      <c r="T8" s="41"/>
      <c r="U8" s="41"/>
      <c r="V8" s="41"/>
      <c r="W8" s="41"/>
      <c r="X8" s="41"/>
      <c r="Y8" s="41"/>
      <c r="Z8" s="41"/>
      <c r="AA8" s="41"/>
      <c r="AB8" s="41"/>
      <c r="AC8" s="41"/>
      <c r="AD8" s="41"/>
      <c r="AE8" s="41"/>
      <c r="AF8" s="41"/>
      <c r="AG8" s="41"/>
      <c r="AH8" s="41"/>
      <c r="AI8" s="53"/>
    </row>
    <row r="9" spans="1:35" x14ac:dyDescent="0.15">
      <c r="A9" s="4" t="s">
        <v>244</v>
      </c>
      <c r="B9" s="4" t="str">
        <f>IF($C$2="ZEH","HQJPK55A2N","HQJPK55A2P")</f>
        <v>HQJPK55A2N</v>
      </c>
      <c r="E9" s="3">
        <v>2</v>
      </c>
      <c r="F9" s="4">
        <v>2</v>
      </c>
      <c r="G9" s="4">
        <v>7</v>
      </c>
      <c r="H9" s="4" t="str">
        <f t="shared" si="0"/>
        <v/>
      </c>
      <c r="I9" s="4" t="str">
        <f>IF(OR(K9=0,K9="",K9="なし"),"",IF(J9&lt;&gt;"",MAX($I$3:I8)+1,""))</f>
        <v/>
      </c>
      <c r="J9" s="67"/>
      <c r="K9" s="89" t="str">
        <f t="shared" si="2"/>
        <v/>
      </c>
      <c r="L9" s="41"/>
      <c r="M9" s="41"/>
      <c r="N9" s="41"/>
      <c r="O9" s="41"/>
      <c r="P9" s="41"/>
      <c r="Q9" s="41"/>
      <c r="R9" s="41"/>
      <c r="S9" s="41"/>
      <c r="T9" s="41"/>
      <c r="U9" s="41"/>
      <c r="V9" s="41"/>
      <c r="W9" s="41"/>
      <c r="X9" s="41"/>
      <c r="Y9" s="41"/>
      <c r="Z9" s="41"/>
      <c r="AA9" s="41"/>
      <c r="AB9" s="41"/>
      <c r="AC9" s="41"/>
      <c r="AD9" s="41"/>
      <c r="AE9" s="41"/>
      <c r="AF9" s="41"/>
      <c r="AG9" s="41"/>
      <c r="AH9" s="41"/>
      <c r="AI9" s="53"/>
    </row>
    <row r="10" spans="1:35" x14ac:dyDescent="0.15">
      <c r="A10" s="4" t="s">
        <v>245</v>
      </c>
      <c r="B10" s="4" t="str">
        <f>IF($C$2="ZEH","HQJPM55A2N","HQJPM55A2P")</f>
        <v>HQJPM55A2N</v>
      </c>
      <c r="E10" s="3">
        <v>3</v>
      </c>
      <c r="F10" s="4">
        <v>3</v>
      </c>
      <c r="G10" s="4">
        <v>8</v>
      </c>
      <c r="H10" s="4" t="str">
        <f t="shared" si="0"/>
        <v/>
      </c>
      <c r="I10" s="4">
        <f>IF(OR(K10=0,K10="",K10="なし"),"",IF(J10&lt;&gt;"",MAX($I$3:I9)+1,""))</f>
        <v>4</v>
      </c>
      <c r="J10" s="14" t="str">
        <f>IF(D38=6,"",IF(OR(C73="",C73="なし"),"",C73))</f>
        <v>POK-S016</v>
      </c>
      <c r="K10" s="89">
        <f t="shared" si="2"/>
        <v>1</v>
      </c>
      <c r="M10" s="41"/>
      <c r="N10" s="41"/>
      <c r="O10" s="41"/>
      <c r="P10" s="41"/>
      <c r="Q10" s="41"/>
      <c r="R10" s="41"/>
      <c r="S10" s="41"/>
      <c r="T10" s="41"/>
      <c r="U10" s="41"/>
      <c r="V10" s="41"/>
      <c r="W10" s="41"/>
      <c r="X10" s="41"/>
      <c r="Y10" s="41"/>
      <c r="Z10" s="41"/>
      <c r="AA10" s="41"/>
      <c r="AB10" s="41"/>
      <c r="AC10" s="41"/>
      <c r="AD10" s="41"/>
      <c r="AE10" s="41"/>
      <c r="AF10" s="41"/>
      <c r="AG10" s="41"/>
      <c r="AH10" s="41"/>
      <c r="AI10" s="53"/>
    </row>
    <row r="11" spans="1:35" x14ac:dyDescent="0.15">
      <c r="A11" s="4" t="s">
        <v>633</v>
      </c>
      <c r="B11" s="4" t="str">
        <f>IF($C$2="ZEH","HQJPMA553N","HQJPMA553P")</f>
        <v>HQJPMA553N</v>
      </c>
      <c r="E11" s="89">
        <v>7</v>
      </c>
      <c r="F11" s="4">
        <v>4</v>
      </c>
      <c r="G11" s="4">
        <v>9</v>
      </c>
      <c r="H11" s="4" t="str">
        <f t="shared" ref="H11:H17" si="3">IF($H$18=0,"",IFERROR(VLOOKUP(G11,$I$3:$J$18,2,FALSE),""))</f>
        <v/>
      </c>
      <c r="I11" s="4" t="str">
        <f>IF(OR(K11=0,K11="",K11="なし"),"",IF(J11&lt;&gt;"",MAX($I$3:I10)+1,""))</f>
        <v/>
      </c>
      <c r="K11" s="89" t="str">
        <f t="shared" si="2"/>
        <v/>
      </c>
      <c r="M11" s="41"/>
      <c r="N11" s="41"/>
      <c r="O11" s="41"/>
      <c r="P11" s="41"/>
      <c r="Q11" s="41"/>
      <c r="R11" s="41"/>
      <c r="S11" s="41"/>
      <c r="T11" s="41"/>
      <c r="U11" s="41"/>
      <c r="V11" s="41"/>
      <c r="W11" s="41"/>
      <c r="X11" s="41"/>
      <c r="Y11" s="41"/>
      <c r="Z11" s="41"/>
      <c r="AA11" s="41"/>
      <c r="AB11" s="41"/>
      <c r="AC11" s="41"/>
      <c r="AD11" s="41"/>
      <c r="AE11" s="41"/>
      <c r="AF11" s="41"/>
      <c r="AG11" s="41"/>
      <c r="AH11" s="41"/>
      <c r="AI11" s="53"/>
    </row>
    <row r="12" spans="1:35" x14ac:dyDescent="0.15">
      <c r="A12" s="4" t="s">
        <v>246</v>
      </c>
      <c r="B12" s="4" t="str">
        <f>IF($C$2="ZEH","HQJPR44A2N","HQJPR44A2P")</f>
        <v>HQJPR44A2N</v>
      </c>
      <c r="E12" s="3">
        <v>4</v>
      </c>
      <c r="F12" s="4">
        <v>5</v>
      </c>
      <c r="G12" s="4">
        <v>10</v>
      </c>
      <c r="H12" s="4" t="str">
        <f t="shared" si="3"/>
        <v/>
      </c>
      <c r="I12" s="4">
        <f>IF(OR(K12=0,K12="",K12="なし"),"",IF(J12&lt;&gt;"",MAX($I$3:I11)+1,""))</f>
        <v>5</v>
      </c>
      <c r="J12" s="15" t="str">
        <f>IF(C88=1,"",IF(D38=6,"",IF(OR(C90="",C90="なし"),"",C90)))</f>
        <v>POK-C100X</v>
      </c>
      <c r="K12" s="89">
        <f t="shared" si="2"/>
        <v>1</v>
      </c>
      <c r="M12" s="41"/>
      <c r="N12" s="41"/>
      <c r="O12" s="41"/>
      <c r="P12" s="41"/>
      <c r="Q12" s="41"/>
      <c r="R12" s="41"/>
      <c r="S12" s="41"/>
      <c r="T12" s="41"/>
      <c r="U12" s="41"/>
      <c r="V12" s="41"/>
      <c r="W12" s="41"/>
      <c r="X12" s="41"/>
      <c r="Y12" s="41"/>
      <c r="Z12" s="41"/>
      <c r="AA12" s="41"/>
      <c r="AB12" s="41"/>
      <c r="AC12" s="41"/>
      <c r="AD12" s="41"/>
      <c r="AE12" s="41"/>
      <c r="AF12" s="41"/>
      <c r="AG12" s="41"/>
      <c r="AH12" s="41"/>
      <c r="AI12" s="53"/>
    </row>
    <row r="13" spans="1:35" x14ac:dyDescent="0.15">
      <c r="A13" s="4" t="s">
        <v>187</v>
      </c>
      <c r="B13" s="4" t="str">
        <f>IF($C$2="ZEH","HQJPR55A2N","HQJPR55A2P")</f>
        <v>HQJPR55A2N</v>
      </c>
      <c r="E13" s="3">
        <v>4</v>
      </c>
      <c r="F13" s="4">
        <v>5</v>
      </c>
      <c r="G13" s="4">
        <v>11</v>
      </c>
      <c r="H13" s="4" t="str">
        <f t="shared" si="3"/>
        <v/>
      </c>
      <c r="I13" s="4" t="str">
        <f>IF(OR(K13=0,K13="",K13="なし"),"",IF(J13&lt;&gt;"",MAX($I$3:I12)+1,""))</f>
        <v/>
      </c>
      <c r="K13" s="89" t="str">
        <f t="shared" si="2"/>
        <v/>
      </c>
      <c r="M13" s="41"/>
      <c r="N13" s="41"/>
      <c r="O13" s="41"/>
      <c r="P13" s="41"/>
      <c r="Q13" s="41"/>
      <c r="R13" s="41"/>
      <c r="S13" s="41"/>
      <c r="T13" s="41"/>
      <c r="U13" s="41"/>
      <c r="V13" s="41"/>
      <c r="W13" s="41"/>
      <c r="X13" s="41"/>
      <c r="Y13" s="41"/>
      <c r="Z13" s="41"/>
      <c r="AA13" s="41"/>
      <c r="AB13" s="41"/>
      <c r="AC13" s="41"/>
      <c r="AD13" s="41"/>
      <c r="AE13" s="41"/>
      <c r="AF13" s="41"/>
      <c r="AG13" s="41"/>
      <c r="AH13" s="41"/>
      <c r="AI13" s="53"/>
    </row>
    <row r="14" spans="1:35" x14ac:dyDescent="0.15">
      <c r="A14" s="4" t="s">
        <v>190</v>
      </c>
      <c r="B14" s="4" t="s">
        <v>191</v>
      </c>
      <c r="E14" s="3">
        <v>5</v>
      </c>
      <c r="F14" s="4">
        <v>6</v>
      </c>
      <c r="G14" s="4">
        <v>12</v>
      </c>
      <c r="H14" s="4" t="str">
        <f t="shared" si="3"/>
        <v/>
      </c>
      <c r="I14" s="4" t="str">
        <f>IF(OR(K14=0,K14="",K14="なし"),"",IF(J14&lt;&gt;"",MAX($I$3:I13)+1,""))</f>
        <v/>
      </c>
      <c r="J14" s="15" t="str">
        <f>IF(C101=1,"",IF(D38=6,"",IF(OR(C103="",C103="なし"),"",C103)))</f>
        <v/>
      </c>
      <c r="K14" s="89" t="str">
        <f t="shared" si="2"/>
        <v/>
      </c>
      <c r="M14" s="41"/>
      <c r="N14" s="41"/>
      <c r="O14" s="41"/>
      <c r="P14" s="41"/>
      <c r="Q14" s="41"/>
      <c r="R14" s="41"/>
      <c r="S14" s="41"/>
      <c r="T14" s="41"/>
      <c r="U14" s="41"/>
      <c r="V14" s="41"/>
      <c r="W14" s="41"/>
      <c r="X14" s="41"/>
      <c r="Y14" s="41"/>
      <c r="Z14" s="41"/>
      <c r="AA14" s="41"/>
      <c r="AB14" s="41"/>
      <c r="AC14" s="41"/>
      <c r="AD14" s="41"/>
      <c r="AE14" s="41"/>
      <c r="AF14" s="41"/>
      <c r="AG14" s="41"/>
      <c r="AH14" s="41"/>
      <c r="AI14" s="53"/>
    </row>
    <row r="15" spans="1:35" x14ac:dyDescent="0.15">
      <c r="A15" s="4" t="s">
        <v>192</v>
      </c>
      <c r="B15" s="4" t="s">
        <v>193</v>
      </c>
      <c r="E15" s="3">
        <v>5</v>
      </c>
      <c r="F15" s="4">
        <v>6</v>
      </c>
      <c r="G15" s="4">
        <v>13</v>
      </c>
      <c r="H15" s="4" t="str">
        <f t="shared" si="3"/>
        <v/>
      </c>
      <c r="I15" s="4" t="str">
        <f>IF(OR(K15=0,K15="",K15="なし"),"",IF(J15&lt;&gt;"",MAX($I$3:I14)+1,""))</f>
        <v/>
      </c>
      <c r="J15" s="15" t="str">
        <f>IF(C109=1,"",IF(OR(D55="622",D55="623"),C111,""))</f>
        <v/>
      </c>
      <c r="K15" s="89" t="str">
        <f t="shared" si="2"/>
        <v/>
      </c>
      <c r="M15" s="41"/>
      <c r="N15" s="41"/>
      <c r="O15" s="41"/>
      <c r="P15" s="41"/>
      <c r="Q15" s="41"/>
      <c r="R15" s="41"/>
      <c r="S15" s="41"/>
      <c r="T15" s="41"/>
      <c r="U15" s="41"/>
      <c r="V15" s="41"/>
      <c r="W15" s="41"/>
      <c r="X15" s="41"/>
      <c r="Y15" s="41"/>
      <c r="Z15" s="41"/>
      <c r="AA15" s="41"/>
      <c r="AB15" s="41"/>
      <c r="AC15" s="41"/>
      <c r="AD15" s="41"/>
      <c r="AE15" s="41"/>
      <c r="AF15" s="41"/>
      <c r="AG15" s="41"/>
      <c r="AH15" s="41"/>
      <c r="AI15" s="53"/>
    </row>
    <row r="16" spans="1:35" x14ac:dyDescent="0.15">
      <c r="A16" s="4" t="s">
        <v>194</v>
      </c>
      <c r="B16" s="4" t="s">
        <v>195</v>
      </c>
      <c r="E16" s="3">
        <v>5</v>
      </c>
      <c r="F16" s="4">
        <v>7</v>
      </c>
      <c r="G16" s="4">
        <v>14</v>
      </c>
      <c r="H16" s="4" t="str">
        <f t="shared" si="3"/>
        <v/>
      </c>
      <c r="I16" s="4" t="str">
        <f>IF(OR(K16=0,K16="",K16="なし"),"",IF(J16&lt;&gt;"",MAX($I$3:I15)+1,""))</f>
        <v/>
      </c>
      <c r="J16" s="16" t="str">
        <f>IF(C114=1,"",IF(OR(D55="622",D55="623"),C115,""))</f>
        <v/>
      </c>
      <c r="K16" s="89" t="str">
        <f t="shared" si="2"/>
        <v/>
      </c>
      <c r="M16" s="41"/>
      <c r="N16" s="41"/>
      <c r="O16" s="41"/>
      <c r="P16" s="41"/>
      <c r="Q16" s="41"/>
      <c r="R16" s="41"/>
      <c r="S16" s="14"/>
      <c r="T16" s="41"/>
      <c r="U16" s="41"/>
      <c r="V16" s="41"/>
      <c r="W16" s="41"/>
      <c r="X16" s="41"/>
      <c r="Y16" s="41"/>
      <c r="Z16" s="41"/>
      <c r="AA16" s="41"/>
      <c r="AB16" s="41"/>
      <c r="AC16" s="41"/>
      <c r="AD16" s="41"/>
      <c r="AE16" s="41"/>
      <c r="AF16" s="41"/>
      <c r="AG16" s="41"/>
      <c r="AH16" s="41"/>
      <c r="AI16" s="53"/>
    </row>
    <row r="17" spans="1:35" x14ac:dyDescent="0.15">
      <c r="A17" s="4" t="s">
        <v>196</v>
      </c>
      <c r="B17" s="4" t="s">
        <v>197</v>
      </c>
      <c r="E17" s="3">
        <v>5</v>
      </c>
      <c r="F17" s="4">
        <v>7</v>
      </c>
      <c r="G17" s="4">
        <v>15</v>
      </c>
      <c r="H17" s="4" t="str">
        <f t="shared" si="3"/>
        <v/>
      </c>
      <c r="I17" s="4" t="str">
        <f>IF(OR(K17=0,K17="",K17="なし"),"",IF(J17&lt;&gt;"",MAX($I$3:I16)+1,""))</f>
        <v/>
      </c>
      <c r="J17" s="16"/>
      <c r="K17" s="89" t="str">
        <f t="shared" si="2"/>
        <v/>
      </c>
      <c r="M17" s="41"/>
      <c r="N17" s="41"/>
      <c r="O17" s="41"/>
      <c r="P17" s="41"/>
      <c r="Q17" s="41"/>
      <c r="R17" s="41"/>
      <c r="S17" s="41"/>
      <c r="T17" s="41"/>
      <c r="U17" s="41"/>
      <c r="V17" s="41"/>
      <c r="W17" s="41"/>
      <c r="X17" s="41"/>
      <c r="Y17" s="41"/>
      <c r="Z17" s="41"/>
      <c r="AA17" s="41"/>
      <c r="AB17" s="41"/>
      <c r="AC17" s="41"/>
      <c r="AD17" s="41"/>
      <c r="AE17" s="41"/>
      <c r="AF17" s="41"/>
      <c r="AG17" s="41"/>
      <c r="AH17" s="41"/>
      <c r="AI17" s="53"/>
    </row>
    <row r="18" spans="1:35" x14ac:dyDescent="0.15">
      <c r="A18" s="4" t="s">
        <v>198</v>
      </c>
      <c r="B18" s="4" t="s">
        <v>199</v>
      </c>
      <c r="E18" s="3">
        <v>5</v>
      </c>
      <c r="F18" s="4">
        <v>7</v>
      </c>
      <c r="H18" s="4">
        <f>IF(ZEH等補助金対応システムの見積作成!B11="",1,0)*IF(ZEH等補助金対応システムの見積作成!B14="",1,0)</f>
        <v>1</v>
      </c>
      <c r="I18" s="4" t="str">
        <f>IF(OR(K18=0,K18="",K18="なし"),"",IF(J18&lt;&gt;"",MAX($I$3:I17)+1,""))</f>
        <v/>
      </c>
      <c r="K18" s="89" t="str">
        <f t="shared" si="2"/>
        <v/>
      </c>
      <c r="M18" s="41"/>
      <c r="N18" s="41"/>
      <c r="O18" s="41"/>
      <c r="P18" s="41"/>
      <c r="Q18" s="41"/>
      <c r="R18" s="41"/>
      <c r="S18" s="41"/>
      <c r="T18" s="41"/>
      <c r="U18" s="41"/>
      <c r="V18" s="41"/>
      <c r="W18" s="41"/>
      <c r="X18" s="41"/>
      <c r="Y18" s="41"/>
      <c r="Z18" s="41"/>
      <c r="AA18" s="41"/>
      <c r="AB18" s="41"/>
      <c r="AC18" s="41"/>
      <c r="AD18" s="41"/>
      <c r="AE18" s="41"/>
      <c r="AF18" s="41"/>
      <c r="AG18" s="41"/>
      <c r="AH18" s="41"/>
      <c r="AI18" s="53"/>
    </row>
    <row r="19" spans="1:35" x14ac:dyDescent="0.15">
      <c r="A19" s="4" t="s">
        <v>223</v>
      </c>
      <c r="B19" s="4" t="s">
        <v>222</v>
      </c>
      <c r="E19" s="3">
        <v>6</v>
      </c>
      <c r="F19" s="4">
        <v>8</v>
      </c>
      <c r="I19" s="4" t="str">
        <f>IF(OR(K19=0,K19="",K19="なし"),"",IF(J19&lt;&gt;"",MAX($I$3:I18)+1,""))</f>
        <v/>
      </c>
      <c r="M19" s="41"/>
      <c r="N19" s="41"/>
      <c r="O19" s="41"/>
      <c r="P19" s="41"/>
      <c r="Q19" s="41"/>
      <c r="R19" s="41"/>
      <c r="S19" s="41"/>
      <c r="T19" s="41"/>
      <c r="U19" s="41"/>
      <c r="V19" s="41"/>
      <c r="W19" s="41"/>
      <c r="X19" s="41"/>
      <c r="Y19" s="41"/>
      <c r="Z19" s="41"/>
      <c r="AA19" s="41"/>
      <c r="AB19" s="41"/>
      <c r="AC19" s="41"/>
      <c r="AD19" s="41"/>
      <c r="AE19" s="41"/>
      <c r="AF19" s="41"/>
      <c r="AG19" s="41"/>
      <c r="AH19" s="41"/>
      <c r="AI19" s="53"/>
    </row>
    <row r="20" spans="1:35" x14ac:dyDescent="0.15">
      <c r="H20" s="65" t="s">
        <v>44</v>
      </c>
      <c r="I20" s="6" t="s">
        <v>55</v>
      </c>
      <c r="J20" s="12" t="s">
        <v>43</v>
      </c>
      <c r="K20" s="6" t="s">
        <v>8</v>
      </c>
      <c r="L20" s="65" t="s">
        <v>52</v>
      </c>
      <c r="M20" s="41"/>
      <c r="N20" s="41"/>
      <c r="O20" s="41"/>
      <c r="P20" s="41"/>
      <c r="Q20" s="41"/>
      <c r="R20" s="41"/>
      <c r="S20" s="41"/>
      <c r="T20" s="41"/>
      <c r="U20" s="41"/>
      <c r="V20" s="41"/>
      <c r="W20" s="41"/>
      <c r="X20" s="41"/>
      <c r="Y20" s="41"/>
      <c r="Z20" s="41"/>
      <c r="AA20" s="41"/>
      <c r="AB20" s="41"/>
      <c r="AC20" s="41"/>
      <c r="AD20" s="41"/>
      <c r="AE20" s="41"/>
      <c r="AF20" s="41"/>
      <c r="AG20" s="41"/>
      <c r="AH20" s="41"/>
      <c r="AI20" s="53"/>
    </row>
    <row r="21" spans="1:35" x14ac:dyDescent="0.15">
      <c r="H21" s="65" t="s">
        <v>269</v>
      </c>
      <c r="I21" s="6" t="s">
        <v>265</v>
      </c>
      <c r="J21" s="12" t="s">
        <v>263</v>
      </c>
      <c r="K21" s="64">
        <v>1</v>
      </c>
      <c r="L21" s="66"/>
      <c r="M21" s="13" t="s">
        <v>107</v>
      </c>
      <c r="N21" s="41"/>
      <c r="O21" s="41"/>
      <c r="P21" s="41"/>
      <c r="Q21" s="41"/>
      <c r="R21" s="41"/>
    </row>
    <row r="22" spans="1:35" x14ac:dyDescent="0.15">
      <c r="A22" s="4" t="s">
        <v>226</v>
      </c>
      <c r="C22" s="4" t="str">
        <f>IF(LEFT(C6,3)="HQJ",LEFT(C6,LEN(C6)-1),C6)</f>
        <v>HQDK401</v>
      </c>
      <c r="F22" s="4">
        <f>VLOOKUP(ZEH等補助金対応システムの見積作成!B10,補助金拾い出し算出シート!A23:F36,6,FALSE)</f>
        <v>1</v>
      </c>
      <c r="H22" s="65" t="s">
        <v>270</v>
      </c>
      <c r="I22" s="6" t="s">
        <v>265</v>
      </c>
      <c r="J22" s="12" t="s">
        <v>262</v>
      </c>
      <c r="K22" s="64">
        <v>1</v>
      </c>
      <c r="L22" s="66"/>
      <c r="M22" s="13" t="s">
        <v>107</v>
      </c>
      <c r="N22" s="41"/>
      <c r="O22" s="41"/>
      <c r="P22" s="41"/>
      <c r="Q22" s="41"/>
      <c r="R22" s="41"/>
    </row>
    <row r="23" spans="1:35" x14ac:dyDescent="0.15">
      <c r="A23" s="4" t="s">
        <v>269</v>
      </c>
      <c r="B23" s="4" t="s">
        <v>271</v>
      </c>
      <c r="C23" s="4" t="str">
        <f>VLOOKUP(ZEH等補助金対応システムの見積作成!B10,A23:B36,2,FALSE)</f>
        <v>HQDM06H1M</v>
      </c>
      <c r="D23" s="4">
        <f>VLOOKUP(ZEH等補助金対応システムの見積作成!B10,補助金拾い出し算出シート!A23:E36,5,FALSE)</f>
        <v>1</v>
      </c>
      <c r="E23" s="3">
        <v>1</v>
      </c>
      <c r="F23" s="4">
        <v>1</v>
      </c>
      <c r="H23" s="65" t="s">
        <v>221</v>
      </c>
      <c r="I23" s="6" t="s">
        <v>265</v>
      </c>
      <c r="J23" s="12" t="s">
        <v>264</v>
      </c>
      <c r="K23" s="64">
        <v>1</v>
      </c>
      <c r="L23" s="66"/>
      <c r="M23" s="13"/>
      <c r="N23" s="41"/>
      <c r="O23" s="41"/>
      <c r="P23" s="41"/>
      <c r="Q23" s="41"/>
      <c r="R23" s="41"/>
    </row>
    <row r="24" spans="1:35" x14ac:dyDescent="0.15">
      <c r="A24" s="4" t="s">
        <v>270</v>
      </c>
      <c r="B24" s="4" t="s">
        <v>272</v>
      </c>
      <c r="C24" s="4" t="str">
        <f>IF(F22=5,"HQJP-MSET-A2",IF(F22=6,"HQJP-MOTS-A2",IF(F22&gt;=9,"HQJP-MUKA-3",ZEH等補助金対応システムの見積作成!B10)))</f>
        <v>HQ-D-M06H-1M</v>
      </c>
      <c r="E24" s="3">
        <v>1</v>
      </c>
      <c r="F24" s="4">
        <v>2</v>
      </c>
      <c r="H24" s="65" t="s">
        <v>62</v>
      </c>
      <c r="I24" s="6" t="s">
        <v>265</v>
      </c>
      <c r="J24" s="12" t="s">
        <v>29</v>
      </c>
      <c r="K24" s="64">
        <v>1</v>
      </c>
      <c r="L24" s="66"/>
      <c r="M24" s="13" t="s">
        <v>107</v>
      </c>
    </row>
    <row r="25" spans="1:35" x14ac:dyDescent="0.15">
      <c r="A25" s="4" t="s">
        <v>221</v>
      </c>
      <c r="B25" s="95" t="str">
        <f>IF(C2="ZEH","KPMU2BSET","KPMU2BSETP")</f>
        <v>KPMU2BSET</v>
      </c>
      <c r="C25" s="4" t="str">
        <f>IF(OR(F22=10,F22=12,F22=14),"HQJP-MC-3","")</f>
        <v/>
      </c>
      <c r="E25" s="3">
        <v>2</v>
      </c>
      <c r="F25" s="4">
        <v>3</v>
      </c>
      <c r="H25" s="65" t="s">
        <v>179</v>
      </c>
      <c r="I25" s="6" t="s">
        <v>265</v>
      </c>
      <c r="J25" s="12" t="s">
        <v>286</v>
      </c>
      <c r="K25" s="64">
        <v>1</v>
      </c>
      <c r="L25" s="66"/>
      <c r="M25" s="13" t="s">
        <v>107</v>
      </c>
    </row>
    <row r="26" spans="1:35" x14ac:dyDescent="0.15">
      <c r="A26" s="4" t="s">
        <v>62</v>
      </c>
      <c r="B26" s="4" t="str">
        <f>SUBSTITUTE(A26,"-","")</f>
        <v>HQJPMSETA2HY</v>
      </c>
      <c r="C26" s="15" t="str">
        <f>IF(OR(F22=5,F22=6,F22=9,F22=10),"HQJP-RM-A1",IF(OR(F22=9,F22=10,F22=11),"HQJP-RM-3",""))</f>
        <v/>
      </c>
      <c r="E26" s="3">
        <v>3</v>
      </c>
      <c r="F26" s="4">
        <v>4</v>
      </c>
      <c r="H26" s="65" t="s">
        <v>267</v>
      </c>
      <c r="I26" s="6" t="s">
        <v>265</v>
      </c>
      <c r="J26" s="12" t="s">
        <v>268</v>
      </c>
      <c r="K26" s="64">
        <v>1</v>
      </c>
      <c r="L26" s="66"/>
      <c r="M26" s="13" t="s">
        <v>107</v>
      </c>
    </row>
    <row r="27" spans="1:35" x14ac:dyDescent="0.15">
      <c r="A27" s="4" t="s">
        <v>180</v>
      </c>
      <c r="B27" s="4" t="s">
        <v>249</v>
      </c>
      <c r="E27" s="3">
        <v>4</v>
      </c>
      <c r="F27" s="4">
        <v>5</v>
      </c>
      <c r="H27" s="65" t="s">
        <v>628</v>
      </c>
      <c r="I27" s="159" t="s">
        <v>60</v>
      </c>
      <c r="J27" s="12" t="s">
        <v>621</v>
      </c>
      <c r="K27" s="64">
        <v>1</v>
      </c>
      <c r="L27" s="66"/>
      <c r="M27" s="13" t="s">
        <v>107</v>
      </c>
      <c r="S27" s="89"/>
      <c r="T27" s="89"/>
      <c r="U27" s="89"/>
      <c r="V27" s="89"/>
      <c r="W27" s="89"/>
      <c r="X27" s="89"/>
      <c r="Y27" s="89"/>
      <c r="Z27" s="89"/>
      <c r="AA27" s="89"/>
      <c r="AB27" s="89"/>
      <c r="AC27" s="89"/>
      <c r="AD27" s="89"/>
      <c r="AE27" s="89"/>
      <c r="AF27" s="89"/>
      <c r="AG27" s="89"/>
      <c r="AH27" s="89"/>
    </row>
    <row r="28" spans="1:35" x14ac:dyDescent="0.15">
      <c r="A28" s="4" t="s">
        <v>586</v>
      </c>
      <c r="B28" s="4" t="s">
        <v>587</v>
      </c>
      <c r="E28" s="89">
        <v>4</v>
      </c>
      <c r="F28" s="4">
        <v>6</v>
      </c>
      <c r="H28" s="65" t="s">
        <v>629</v>
      </c>
      <c r="I28" s="159" t="s">
        <v>60</v>
      </c>
      <c r="J28" s="12" t="s">
        <v>632</v>
      </c>
      <c r="K28" s="64">
        <v>1</v>
      </c>
      <c r="L28" s="66"/>
      <c r="M28" s="13" t="s">
        <v>642</v>
      </c>
      <c r="N28" s="89"/>
      <c r="O28" s="89"/>
      <c r="P28" s="89"/>
      <c r="Q28" s="89"/>
      <c r="R28" s="89"/>
    </row>
    <row r="29" spans="1:35" x14ac:dyDescent="0.15">
      <c r="A29" s="4" t="s">
        <v>639</v>
      </c>
      <c r="B29" s="4" t="s">
        <v>640</v>
      </c>
      <c r="E29" s="89">
        <v>6</v>
      </c>
      <c r="F29" s="4">
        <v>9</v>
      </c>
      <c r="H29" s="65" t="s">
        <v>630</v>
      </c>
      <c r="I29" s="159" t="s">
        <v>60</v>
      </c>
      <c r="J29" s="12" t="s">
        <v>631</v>
      </c>
      <c r="K29" s="64">
        <v>1</v>
      </c>
      <c r="L29" s="66"/>
      <c r="M29" s="13" t="s">
        <v>643</v>
      </c>
      <c r="S29" s="89"/>
      <c r="T29" s="89"/>
      <c r="U29" s="89"/>
      <c r="V29" s="89"/>
      <c r="W29" s="89"/>
      <c r="X29" s="89"/>
      <c r="Y29" s="89"/>
      <c r="Z29" s="89"/>
      <c r="AA29" s="89"/>
      <c r="AB29" s="89"/>
      <c r="AC29" s="89"/>
      <c r="AD29" s="89"/>
      <c r="AE29" s="89"/>
      <c r="AF29" s="89"/>
      <c r="AG29" s="89"/>
      <c r="AH29" s="89"/>
    </row>
    <row r="30" spans="1:35" x14ac:dyDescent="0.15">
      <c r="A30" s="4" t="s">
        <v>635</v>
      </c>
      <c r="B30" s="4" t="s">
        <v>641</v>
      </c>
      <c r="E30" s="89">
        <v>6</v>
      </c>
      <c r="F30" s="4">
        <v>10</v>
      </c>
      <c r="H30" s="65" t="s">
        <v>260</v>
      </c>
      <c r="I30" s="6" t="s">
        <v>57</v>
      </c>
      <c r="J30" s="12" t="s">
        <v>261</v>
      </c>
      <c r="K30" s="64">
        <v>1</v>
      </c>
      <c r="L30" s="66"/>
      <c r="M30" s="74"/>
    </row>
    <row r="31" spans="1:35" x14ac:dyDescent="0.15">
      <c r="A31" s="4" t="s">
        <v>636</v>
      </c>
      <c r="B31" s="4" t="s">
        <v>626</v>
      </c>
      <c r="E31" s="89">
        <v>8</v>
      </c>
      <c r="F31" s="4">
        <v>11</v>
      </c>
      <c r="H31" s="65" t="s">
        <v>259</v>
      </c>
      <c r="I31" s="6" t="s">
        <v>59</v>
      </c>
      <c r="J31" s="77" t="s">
        <v>203</v>
      </c>
      <c r="K31" s="64">
        <v>1</v>
      </c>
      <c r="L31" s="66"/>
    </row>
    <row r="32" spans="1:35" x14ac:dyDescent="0.15">
      <c r="A32" s="4" t="s">
        <v>637</v>
      </c>
      <c r="B32" s="4" t="s">
        <v>627</v>
      </c>
      <c r="E32" s="89">
        <v>8</v>
      </c>
      <c r="F32" s="4">
        <v>12</v>
      </c>
      <c r="H32" s="65" t="s">
        <v>224</v>
      </c>
      <c r="I32" s="6" t="s">
        <v>59</v>
      </c>
      <c r="J32" s="77" t="s">
        <v>256</v>
      </c>
      <c r="K32" s="64">
        <v>1</v>
      </c>
      <c r="L32" s="66"/>
    </row>
    <row r="33" spans="1:53" x14ac:dyDescent="0.15">
      <c r="A33" s="4" t="s">
        <v>179</v>
      </c>
      <c r="B33" s="4" t="str">
        <f>SUBSTITUTE(A33,"-","")</f>
        <v>HQJPMSETA2</v>
      </c>
      <c r="D33" s="68"/>
      <c r="E33" s="3">
        <v>5</v>
      </c>
      <c r="F33" s="4">
        <v>7</v>
      </c>
      <c r="H33" s="65" t="s">
        <v>266</v>
      </c>
      <c r="I33" s="6" t="s">
        <v>59</v>
      </c>
      <c r="J33" s="77" t="s">
        <v>257</v>
      </c>
      <c r="K33" s="64">
        <v>1</v>
      </c>
      <c r="L33" s="66"/>
    </row>
    <row r="34" spans="1:53" x14ac:dyDescent="0.15">
      <c r="A34" s="4" t="s">
        <v>267</v>
      </c>
      <c r="B34" s="4" t="str">
        <f>SUBSTITUTE(A34,"-","")</f>
        <v>HQJPMOTSA2</v>
      </c>
      <c r="D34" s="68"/>
      <c r="E34" s="89">
        <v>5</v>
      </c>
      <c r="F34" s="4">
        <v>8</v>
      </c>
      <c r="H34" s="65" t="s">
        <v>274</v>
      </c>
      <c r="I34" s="6" t="s">
        <v>59</v>
      </c>
      <c r="J34" s="12" t="s">
        <v>273</v>
      </c>
      <c r="K34" s="64"/>
      <c r="L34" s="66"/>
    </row>
    <row r="35" spans="1:53" x14ac:dyDescent="0.15">
      <c r="A35" s="4" t="s">
        <v>619</v>
      </c>
      <c r="B35" s="4" t="str">
        <f t="shared" ref="B35" si="4">SUBSTITUTE(A35,"-","")</f>
        <v>HQJPMUKA3</v>
      </c>
      <c r="D35" s="68"/>
      <c r="E35" s="89">
        <v>7</v>
      </c>
      <c r="F35" s="4">
        <v>13</v>
      </c>
      <c r="H35" s="63" t="s">
        <v>231</v>
      </c>
      <c r="I35" s="6" t="s">
        <v>57</v>
      </c>
      <c r="J35" s="12" t="s">
        <v>229</v>
      </c>
      <c r="K35" s="6">
        <f>ZEH等補助金対応システムの見積作成!C24</f>
        <v>1</v>
      </c>
      <c r="L35" s="65"/>
    </row>
    <row r="36" spans="1:53" x14ac:dyDescent="0.15">
      <c r="A36" s="4" t="s">
        <v>638</v>
      </c>
      <c r="B36" s="4" t="s">
        <v>625</v>
      </c>
      <c r="D36" s="68"/>
      <c r="E36" s="89">
        <v>7</v>
      </c>
      <c r="F36" s="4">
        <v>14</v>
      </c>
      <c r="H36" s="63" t="s">
        <v>233</v>
      </c>
      <c r="I36" s="6" t="s">
        <v>57</v>
      </c>
      <c r="J36" s="12" t="s">
        <v>230</v>
      </c>
      <c r="K36" s="6">
        <f>ZEH等補助金対応システムの見積作成!C24</f>
        <v>1</v>
      </c>
      <c r="L36" s="6"/>
    </row>
    <row r="37" spans="1:53" x14ac:dyDescent="0.15">
      <c r="D37" s="68"/>
      <c r="E37" s="89"/>
      <c r="H37" s="63" t="s">
        <v>234</v>
      </c>
      <c r="I37" s="6" t="s">
        <v>57</v>
      </c>
      <c r="J37" s="12" t="s">
        <v>232</v>
      </c>
      <c r="K37" s="6">
        <f>ZEH等補助金対応システムの見積作成!C24</f>
        <v>1</v>
      </c>
      <c r="L37" s="6"/>
    </row>
    <row r="38" spans="1:53" x14ac:dyDescent="0.15">
      <c r="A38" s="4" t="s">
        <v>227</v>
      </c>
      <c r="C38" s="4" t="str">
        <f>C2&amp;LEFT(C22,3)</f>
        <v>ZEHHQD</v>
      </c>
      <c r="D38" s="10">
        <f>VLOOKUP(ZEH等補助金対応システムの見積作成!B13,補助金拾い出し算出シート!A39:E47,5,FALSE)</f>
        <v>4</v>
      </c>
      <c r="H38" s="12" t="s">
        <v>458</v>
      </c>
      <c r="I38" s="6" t="s">
        <v>58</v>
      </c>
      <c r="J38" s="12" t="s">
        <v>235</v>
      </c>
      <c r="K38" s="6">
        <f>ZEH等補助金対応システムの見積作成!C29</f>
        <v>1</v>
      </c>
      <c r="L38" s="6"/>
    </row>
    <row r="39" spans="1:53" x14ac:dyDescent="0.15">
      <c r="A39" s="37" t="s">
        <v>573</v>
      </c>
      <c r="B39" s="13" t="s">
        <v>283</v>
      </c>
      <c r="C39" s="4" t="str">
        <f>VLOOKUP(ZEH等補助金対応システムの見積作成!B13,A39:B46,2,FALSE)</f>
        <v>HMEM03E</v>
      </c>
      <c r="D39" s="69" t="s">
        <v>393</v>
      </c>
      <c r="E39" s="3">
        <v>1</v>
      </c>
      <c r="H39" s="12" t="s">
        <v>459</v>
      </c>
      <c r="I39" s="6" t="s">
        <v>58</v>
      </c>
      <c r="J39" s="12" t="s">
        <v>236</v>
      </c>
      <c r="K39" s="6">
        <f>ZEH等補助金対応システムの見積作成!C29</f>
        <v>1</v>
      </c>
      <c r="L39" s="6"/>
    </row>
    <row r="40" spans="1:53" x14ac:dyDescent="0.15">
      <c r="A40" s="37" t="s">
        <v>574</v>
      </c>
      <c r="B40" s="13" t="s">
        <v>251</v>
      </c>
      <c r="D40" s="13"/>
      <c r="E40" s="3">
        <v>2</v>
      </c>
      <c r="H40" s="12" t="s">
        <v>460</v>
      </c>
      <c r="I40" s="6" t="s">
        <v>58</v>
      </c>
      <c r="J40" s="12" t="s">
        <v>237</v>
      </c>
      <c r="K40" s="6">
        <f>ZEH等補助金対応システムの見積作成!C29</f>
        <v>1</v>
      </c>
      <c r="L40" s="6"/>
    </row>
    <row r="41" spans="1:53" x14ac:dyDescent="0.15">
      <c r="A41" s="37" t="s">
        <v>575</v>
      </c>
      <c r="B41" s="13" t="s">
        <v>252</v>
      </c>
      <c r="C41" s="4" t="str">
        <f>IF(OR(D38=1,D38=2,D38=3),H31,IF(D38=4,D43,IF(D38=5,D44,"")))</f>
        <v>HM-EM03-E</v>
      </c>
      <c r="D41" s="68"/>
      <c r="E41" s="3">
        <v>3</v>
      </c>
      <c r="H41" s="63" t="s">
        <v>289</v>
      </c>
      <c r="I41" s="63" t="s">
        <v>309</v>
      </c>
      <c r="J41" s="12" t="s">
        <v>300</v>
      </c>
      <c r="K41" s="6">
        <f>ZEH等補助金対応システムの見積作成!C24</f>
        <v>1</v>
      </c>
      <c r="L41" s="6"/>
    </row>
    <row r="42" spans="1:53" s="3" customFormat="1" x14ac:dyDescent="0.15">
      <c r="A42" s="13" t="s">
        <v>228</v>
      </c>
      <c r="B42" s="13" t="str">
        <f>A42</f>
        <v>なし</v>
      </c>
      <c r="C42" s="4" t="str">
        <f>IF(D38=1,"",IF(D38=2,D43,IF(D38=3,D44,"")))</f>
        <v/>
      </c>
      <c r="D42" s="68"/>
      <c r="E42" s="3">
        <v>7</v>
      </c>
      <c r="F42" s="4"/>
      <c r="G42" s="4"/>
      <c r="H42" s="63" t="s">
        <v>291</v>
      </c>
      <c r="I42" s="63" t="s">
        <v>309</v>
      </c>
      <c r="J42" s="12" t="s">
        <v>301</v>
      </c>
      <c r="K42" s="6">
        <f>ZEH等補助金対応システムの見積作成!C24</f>
        <v>1</v>
      </c>
      <c r="L42" s="6"/>
      <c r="AI42" s="4"/>
      <c r="AJ42" s="4"/>
      <c r="AK42" s="4"/>
      <c r="AL42" s="4"/>
      <c r="AM42" s="4"/>
      <c r="AN42" s="4"/>
      <c r="AO42" s="4"/>
      <c r="AP42" s="4"/>
      <c r="AQ42" s="4"/>
      <c r="AR42" s="4"/>
      <c r="AS42" s="4"/>
      <c r="AT42" s="4"/>
      <c r="AU42" s="4"/>
      <c r="AV42" s="4"/>
      <c r="AW42" s="4"/>
      <c r="AX42" s="4"/>
      <c r="AY42" s="4"/>
      <c r="AZ42" s="4"/>
      <c r="BA42" s="4"/>
    </row>
    <row r="43" spans="1:53" s="3" customFormat="1" x14ac:dyDescent="0.15">
      <c r="A43" s="13" t="s">
        <v>284</v>
      </c>
      <c r="B43" s="13" t="s">
        <v>253</v>
      </c>
      <c r="C43" s="4"/>
      <c r="D43" s="69" t="s">
        <v>224</v>
      </c>
      <c r="E43" s="3">
        <v>4</v>
      </c>
      <c r="F43" s="4"/>
      <c r="G43" s="4"/>
      <c r="H43" s="63" t="s">
        <v>293</v>
      </c>
      <c r="I43" s="63" t="s">
        <v>309</v>
      </c>
      <c r="J43" s="12" t="s">
        <v>302</v>
      </c>
      <c r="K43" s="6">
        <f>ZEH等補助金対応システムの見積作成!C24</f>
        <v>1</v>
      </c>
      <c r="L43" s="6"/>
      <c r="AI43" s="4"/>
      <c r="AJ43" s="4"/>
      <c r="AK43" s="4"/>
      <c r="AL43" s="4"/>
      <c r="AM43" s="4"/>
      <c r="AN43" s="4"/>
      <c r="AO43" s="4"/>
      <c r="AP43" s="4"/>
      <c r="AQ43" s="4"/>
      <c r="AR43" s="4"/>
      <c r="AS43" s="4"/>
      <c r="AT43" s="4"/>
      <c r="AU43" s="4"/>
      <c r="AV43" s="4"/>
      <c r="AW43" s="4"/>
      <c r="AX43" s="4"/>
      <c r="AY43" s="4"/>
      <c r="AZ43" s="4"/>
      <c r="BA43" s="4"/>
    </row>
    <row r="44" spans="1:53" s="3" customFormat="1" x14ac:dyDescent="0.15">
      <c r="A44" s="13" t="s">
        <v>285</v>
      </c>
      <c r="B44" s="13" t="s">
        <v>254</v>
      </c>
      <c r="C44" s="4"/>
      <c r="D44" s="69" t="s">
        <v>266</v>
      </c>
      <c r="E44" s="3">
        <v>5</v>
      </c>
      <c r="F44" s="4"/>
      <c r="G44" s="4"/>
      <c r="H44" s="63" t="s">
        <v>295</v>
      </c>
      <c r="I44" s="63" t="s">
        <v>309</v>
      </c>
      <c r="J44" s="12" t="s">
        <v>303</v>
      </c>
      <c r="K44" s="6">
        <f>IF(OR(D55="514",D55="515"),ZEH等補助金対応システムの見積作成!C34,ZEH等補助金対応システムの見積作成!C29)</f>
        <v>1</v>
      </c>
      <c r="L44" s="6"/>
      <c r="AI44" s="4"/>
      <c r="AJ44" s="4"/>
      <c r="AK44" s="4"/>
      <c r="AL44" s="4"/>
      <c r="AM44" s="4"/>
      <c r="AN44" s="4"/>
      <c r="AO44" s="4"/>
      <c r="AP44" s="4"/>
      <c r="AQ44" s="4"/>
      <c r="AR44" s="4"/>
      <c r="AS44" s="4"/>
      <c r="AT44" s="4"/>
      <c r="AU44" s="4"/>
      <c r="AV44" s="4"/>
      <c r="AW44" s="4"/>
      <c r="AX44" s="4"/>
      <c r="AY44" s="4"/>
      <c r="AZ44" s="4"/>
      <c r="BA44" s="4"/>
    </row>
    <row r="45" spans="1:53" s="3" customFormat="1" x14ac:dyDescent="0.15">
      <c r="A45" s="13" t="s">
        <v>228</v>
      </c>
      <c r="B45" s="13" t="str">
        <f>A45</f>
        <v>なし</v>
      </c>
      <c r="C45" s="4"/>
      <c r="D45" s="68"/>
      <c r="E45" s="3">
        <v>7</v>
      </c>
      <c r="F45" s="4"/>
      <c r="G45" s="4"/>
      <c r="H45" s="63" t="s">
        <v>297</v>
      </c>
      <c r="I45" s="63" t="s">
        <v>309</v>
      </c>
      <c r="J45" s="12" t="s">
        <v>304</v>
      </c>
      <c r="K45" s="6">
        <f>IF(OR(D55="514",D55="515"),ZEH等補助金対応システムの見積作成!C34,ZEH等補助金対応システムの見積作成!C29)</f>
        <v>1</v>
      </c>
      <c r="L45" s="6"/>
      <c r="AI45" s="4"/>
      <c r="AJ45" s="4"/>
      <c r="AK45" s="4"/>
      <c r="AL45" s="4"/>
      <c r="AM45" s="4"/>
      <c r="AN45" s="4"/>
      <c r="AO45" s="4"/>
      <c r="AP45" s="4"/>
      <c r="AQ45" s="4"/>
      <c r="AR45" s="4"/>
      <c r="AS45" s="4"/>
      <c r="AT45" s="4"/>
      <c r="AU45" s="4"/>
      <c r="AV45" s="4"/>
      <c r="AW45" s="4"/>
      <c r="AX45" s="4"/>
      <c r="AY45" s="4"/>
      <c r="AZ45" s="4"/>
      <c r="BA45" s="4"/>
    </row>
    <row r="46" spans="1:53" s="3" customFormat="1" x14ac:dyDescent="0.15">
      <c r="A46" s="4" t="s">
        <v>248</v>
      </c>
      <c r="B46" s="4" t="s">
        <v>248</v>
      </c>
      <c r="C46" s="4"/>
      <c r="D46" s="68"/>
      <c r="E46" s="3">
        <v>6</v>
      </c>
      <c r="F46" s="4"/>
      <c r="G46" s="4"/>
      <c r="H46" s="63" t="s">
        <v>298</v>
      </c>
      <c r="I46" s="63" t="s">
        <v>309</v>
      </c>
      <c r="J46" s="12" t="s">
        <v>305</v>
      </c>
      <c r="K46" s="6">
        <f>ZEH等補助金対応システムの見積作成!C34</f>
        <v>1</v>
      </c>
      <c r="L46" s="6"/>
      <c r="AI46" s="4"/>
      <c r="AJ46" s="4"/>
      <c r="AK46" s="4"/>
      <c r="AL46" s="4"/>
      <c r="AM46" s="4"/>
      <c r="AN46" s="4"/>
      <c r="AO46" s="4"/>
      <c r="AP46" s="4"/>
      <c r="AQ46" s="4"/>
      <c r="AR46" s="4"/>
      <c r="AS46" s="4"/>
      <c r="AT46" s="4"/>
      <c r="AU46" s="4"/>
      <c r="AV46" s="4"/>
      <c r="AW46" s="4"/>
      <c r="AX46" s="4"/>
      <c r="AY46" s="4"/>
      <c r="AZ46" s="4"/>
      <c r="BA46" s="4"/>
    </row>
    <row r="47" spans="1:53" s="3" customFormat="1" x14ac:dyDescent="0.15">
      <c r="A47" s="13" t="s">
        <v>228</v>
      </c>
      <c r="B47" s="13" t="str">
        <f>A47</f>
        <v>なし</v>
      </c>
      <c r="C47" s="4"/>
      <c r="D47" s="4"/>
      <c r="E47" s="3">
        <v>7</v>
      </c>
      <c r="F47" s="4"/>
      <c r="G47" s="4"/>
      <c r="H47" s="63" t="s">
        <v>326</v>
      </c>
      <c r="I47" s="63" t="s">
        <v>361</v>
      </c>
      <c r="J47" s="12" t="s">
        <v>362</v>
      </c>
      <c r="K47" s="149">
        <f>IF(OR($D$55="622",$D$55="623"),ZEH等補助金対応システムの見積作成!$C$44,ZEH等補助金対応システムの見積作成!$C$24)</f>
        <v>1</v>
      </c>
      <c r="L47" s="6"/>
      <c r="AI47" s="4"/>
      <c r="AJ47" s="4"/>
      <c r="AK47" s="4"/>
      <c r="AL47" s="4"/>
      <c r="AM47" s="4"/>
      <c r="AN47" s="4"/>
      <c r="AO47" s="4"/>
      <c r="AP47" s="4"/>
      <c r="AQ47" s="4"/>
      <c r="AR47" s="4"/>
      <c r="AS47" s="4"/>
      <c r="AT47" s="4"/>
      <c r="AU47" s="4"/>
      <c r="AV47" s="4"/>
      <c r="AW47" s="4"/>
      <c r="AX47" s="4"/>
      <c r="AY47" s="4"/>
      <c r="AZ47" s="4"/>
      <c r="BA47" s="4"/>
    </row>
    <row r="48" spans="1:53" s="3" customFormat="1" x14ac:dyDescent="0.15">
      <c r="A48" s="13"/>
      <c r="B48" s="13"/>
      <c r="C48" s="4"/>
      <c r="D48" s="4"/>
      <c r="F48" s="4"/>
      <c r="G48" s="4"/>
      <c r="H48" s="63" t="s">
        <v>328</v>
      </c>
      <c r="I48" s="63" t="s">
        <v>346</v>
      </c>
      <c r="J48" s="12" t="s">
        <v>350</v>
      </c>
      <c r="K48" s="149">
        <f>IF(OR($D$55="622",$D$55="623"),ZEH等補助金対応システムの見積作成!$C$49,ZEH等補助金対応システムの見積作成!$C$29)</f>
        <v>1</v>
      </c>
      <c r="L48" s="6"/>
      <c r="AI48" s="4"/>
      <c r="AJ48" s="4"/>
      <c r="AK48" s="4"/>
      <c r="AL48" s="4"/>
      <c r="AM48" s="4"/>
      <c r="AN48" s="4"/>
      <c r="AO48" s="4"/>
      <c r="AP48" s="4"/>
      <c r="AQ48" s="4"/>
      <c r="AR48" s="4"/>
      <c r="AS48" s="4"/>
      <c r="AT48" s="4"/>
      <c r="AU48" s="4"/>
      <c r="AV48" s="4"/>
      <c r="AW48" s="4"/>
      <c r="AX48" s="4"/>
      <c r="AY48" s="4"/>
      <c r="AZ48" s="4"/>
      <c r="BA48" s="4"/>
    </row>
    <row r="49" spans="1:53" s="3" customFormat="1" x14ac:dyDescent="0.15">
      <c r="A49" s="13" t="s">
        <v>239</v>
      </c>
      <c r="B49" s="13"/>
      <c r="C49" s="15" t="str">
        <f>IF(OR(C23&amp;C39="HQDM06H1Mなし",C23&amp;C39="HQDM06H1Yなし",C39="HMGW03"),"ECOEYE",IF(C39="AiSEG2","COSMO","NOTHING"))</f>
        <v>NOTHING</v>
      </c>
      <c r="D49" s="10" t="str">
        <f>D6&amp;D50</f>
        <v>51</v>
      </c>
      <c r="F49" s="4"/>
      <c r="G49" s="4"/>
      <c r="H49" s="63" t="s">
        <v>329</v>
      </c>
      <c r="I49" s="63" t="s">
        <v>346</v>
      </c>
      <c r="J49" s="12" t="s">
        <v>351</v>
      </c>
      <c r="K49" s="149">
        <f>IF(OR($D$55="622",$D$55="623"),ZEH等補助金対応システムの見積作成!$C$49,ZEH等補助金対応システムの見積作成!$C$29)</f>
        <v>1</v>
      </c>
      <c r="L49" s="6"/>
      <c r="AI49" s="4"/>
      <c r="AJ49" s="4"/>
      <c r="AK49" s="4"/>
      <c r="AL49" s="4"/>
      <c r="AM49" s="4"/>
      <c r="AN49" s="4"/>
      <c r="AO49" s="4"/>
      <c r="AP49" s="4"/>
      <c r="AQ49" s="4"/>
      <c r="AR49" s="4"/>
      <c r="AS49" s="4"/>
      <c r="AT49" s="4"/>
      <c r="AU49" s="4"/>
      <c r="AV49" s="4"/>
      <c r="AW49" s="4"/>
      <c r="AX49" s="4"/>
      <c r="AY49" s="4"/>
      <c r="AZ49" s="4"/>
      <c r="BA49" s="4"/>
    </row>
    <row r="50" spans="1:53" s="3" customFormat="1" x14ac:dyDescent="0.15">
      <c r="A50" s="13" t="s">
        <v>1</v>
      </c>
      <c r="B50" s="13" t="s">
        <v>1</v>
      </c>
      <c r="C50" s="4" t="str">
        <f>ZEH等補助金対応システムの見積作成!B16</f>
        <v>一般的な分電盤</v>
      </c>
      <c r="D50" s="4">
        <f>VLOOKUP(C50,A50:E53,5,FALSE)</f>
        <v>1</v>
      </c>
      <c r="E50" s="3">
        <v>1</v>
      </c>
      <c r="F50" s="4"/>
      <c r="G50" s="4"/>
      <c r="H50" s="63" t="s">
        <v>330</v>
      </c>
      <c r="I50" s="63" t="s">
        <v>346</v>
      </c>
      <c r="J50" s="12" t="s">
        <v>352</v>
      </c>
      <c r="K50" s="149">
        <f>IF(OR($D$55="622",$D$55="623"),ZEH等補助金対応システムの見積作成!$C$49,ZEH等補助金対応システムの見積作成!$C$29)</f>
        <v>1</v>
      </c>
      <c r="L50" s="6"/>
      <c r="AI50" s="4"/>
      <c r="AJ50" s="4"/>
      <c r="AK50" s="4"/>
      <c r="AL50" s="4"/>
      <c r="AM50" s="4"/>
      <c r="AN50" s="4"/>
      <c r="AO50" s="4"/>
      <c r="AP50" s="4"/>
      <c r="AQ50" s="4"/>
      <c r="AR50" s="4"/>
      <c r="AS50" s="4"/>
      <c r="AT50" s="4"/>
      <c r="AU50" s="4"/>
      <c r="AV50" s="4"/>
      <c r="AW50" s="4"/>
      <c r="AX50" s="4"/>
      <c r="AY50" s="4"/>
      <c r="AZ50" s="4"/>
      <c r="BA50" s="4"/>
    </row>
    <row r="51" spans="1:53" s="3" customFormat="1" x14ac:dyDescent="0.15">
      <c r="A51" s="13" t="s">
        <v>238</v>
      </c>
      <c r="B51" s="13" t="s">
        <v>238</v>
      </c>
      <c r="C51" s="4"/>
      <c r="D51" s="4"/>
      <c r="E51" s="3">
        <v>2</v>
      </c>
      <c r="F51" s="4"/>
      <c r="G51" s="4"/>
      <c r="H51" s="63" t="s">
        <v>331</v>
      </c>
      <c r="I51" s="63" t="s">
        <v>346</v>
      </c>
      <c r="J51" s="12" t="s">
        <v>353</v>
      </c>
      <c r="K51" s="149">
        <f>IF(OR($D$55="622",$D$55="623"),ZEH等補助金対応システムの見積作成!$C$49,ZEH等補助金対応システムの見積作成!$C$29)</f>
        <v>1</v>
      </c>
      <c r="L51" s="6"/>
      <c r="AI51" s="4"/>
      <c r="AJ51" s="4"/>
      <c r="AK51" s="4"/>
      <c r="AL51" s="4"/>
      <c r="AM51" s="4"/>
      <c r="AN51" s="4"/>
      <c r="AO51" s="4"/>
      <c r="AP51" s="4"/>
      <c r="AQ51" s="4"/>
      <c r="AR51" s="4"/>
      <c r="AS51" s="4"/>
      <c r="AT51" s="4"/>
      <c r="AU51" s="4"/>
      <c r="AV51" s="4"/>
      <c r="AW51" s="4"/>
      <c r="AX51" s="4"/>
      <c r="AY51" s="4"/>
      <c r="AZ51" s="4"/>
      <c r="BA51" s="4"/>
    </row>
    <row r="52" spans="1:53" s="3" customFormat="1" x14ac:dyDescent="0.15">
      <c r="A52" s="13" t="s">
        <v>1</v>
      </c>
      <c r="B52" s="13" t="s">
        <v>1</v>
      </c>
      <c r="C52" s="4"/>
      <c r="D52" s="4"/>
      <c r="E52" s="3">
        <v>1</v>
      </c>
      <c r="F52" s="4"/>
      <c r="H52" s="63" t="s">
        <v>343</v>
      </c>
      <c r="I52" s="63" t="s">
        <v>347</v>
      </c>
      <c r="J52" s="12" t="s">
        <v>359</v>
      </c>
      <c r="K52" s="6">
        <f>ZEH等補助金対応システムの見積作成!C34</f>
        <v>1</v>
      </c>
      <c r="L52" s="6"/>
      <c r="AI52" s="4"/>
      <c r="AJ52" s="4"/>
      <c r="AK52" s="4"/>
      <c r="AL52" s="4"/>
      <c r="AM52" s="4"/>
      <c r="AN52" s="4"/>
      <c r="AO52" s="4"/>
      <c r="AP52" s="4"/>
      <c r="AQ52" s="4"/>
      <c r="AR52" s="4"/>
      <c r="AS52" s="4"/>
      <c r="AT52" s="4"/>
      <c r="AU52" s="4"/>
      <c r="AV52" s="4"/>
      <c r="AW52" s="4"/>
      <c r="AX52" s="4"/>
      <c r="AY52" s="4"/>
      <c r="AZ52" s="4"/>
      <c r="BA52" s="4"/>
    </row>
    <row r="53" spans="1:53" s="3" customFormat="1" x14ac:dyDescent="0.15">
      <c r="A53" s="13" t="s">
        <v>250</v>
      </c>
      <c r="B53" s="13" t="s">
        <v>250</v>
      </c>
      <c r="C53" s="4"/>
      <c r="D53" s="4"/>
      <c r="E53" s="3">
        <v>3</v>
      </c>
      <c r="F53" s="4"/>
      <c r="H53" s="63" t="s">
        <v>345</v>
      </c>
      <c r="I53" s="63" t="s">
        <v>348</v>
      </c>
      <c r="J53" s="12" t="s">
        <v>360</v>
      </c>
      <c r="K53" s="6">
        <f>ZEH等補助金対応システムの見積作成!C34</f>
        <v>1</v>
      </c>
      <c r="L53" s="6"/>
      <c r="AI53" s="4"/>
      <c r="AJ53" s="4"/>
      <c r="AK53" s="4"/>
      <c r="AL53" s="4"/>
      <c r="AM53" s="4"/>
      <c r="AN53" s="4"/>
      <c r="AO53" s="4"/>
      <c r="AP53" s="4"/>
      <c r="AQ53" s="4"/>
      <c r="AR53" s="4"/>
      <c r="AS53" s="4"/>
      <c r="AT53" s="4"/>
      <c r="AU53" s="4"/>
      <c r="AV53" s="4"/>
      <c r="AW53" s="4"/>
      <c r="AX53" s="4"/>
      <c r="AY53" s="4"/>
      <c r="AZ53" s="4"/>
      <c r="BA53" s="4"/>
    </row>
    <row r="54" spans="1:53" s="3" customFormat="1" x14ac:dyDescent="0.15">
      <c r="A54" s="13"/>
      <c r="B54" s="13"/>
      <c r="C54" s="4"/>
      <c r="D54" s="10" t="str">
        <f>D23&amp;D38</f>
        <v>14</v>
      </c>
      <c r="F54" s="4"/>
      <c r="G54" s="4"/>
      <c r="H54" s="63" t="s">
        <v>335</v>
      </c>
      <c r="I54" s="63" t="s">
        <v>346</v>
      </c>
      <c r="J54" s="12" t="s">
        <v>355</v>
      </c>
      <c r="K54" s="6">
        <f>ZEH等補助金対応システムの見積作成!C39</f>
        <v>1</v>
      </c>
      <c r="L54" s="6"/>
      <c r="AI54" s="4"/>
      <c r="AJ54" s="4"/>
      <c r="AK54" s="4"/>
      <c r="AL54" s="4"/>
      <c r="AM54" s="4"/>
      <c r="AN54" s="4"/>
      <c r="AO54" s="4"/>
      <c r="AP54" s="4"/>
      <c r="AQ54" s="4"/>
      <c r="AR54" s="4"/>
      <c r="AS54" s="4"/>
      <c r="AT54" s="4"/>
      <c r="AU54" s="4"/>
      <c r="AV54" s="4"/>
      <c r="AW54" s="4"/>
      <c r="AX54" s="4"/>
      <c r="AY54" s="4"/>
      <c r="AZ54" s="4"/>
      <c r="BA54" s="4"/>
    </row>
    <row r="55" spans="1:53" s="3" customFormat="1" ht="19.5" x14ac:dyDescent="0.15">
      <c r="A55" s="79" t="s">
        <v>389</v>
      </c>
      <c r="B55" s="13"/>
      <c r="C55" s="4" t="str">
        <f>IF(ZEH等補助金対応システムの見積作成!B22="拾い出し部材はありません(下記部材は拾い出されません)",1,"")</f>
        <v/>
      </c>
      <c r="D55" s="10" t="str">
        <f>D6&amp;補助金拾い出し算出シート!D23&amp;D38</f>
        <v>514</v>
      </c>
      <c r="F55" s="4"/>
      <c r="G55" s="4"/>
      <c r="H55" s="63" t="s">
        <v>337</v>
      </c>
      <c r="I55" s="63" t="s">
        <v>346</v>
      </c>
      <c r="J55" s="12" t="s">
        <v>356</v>
      </c>
      <c r="K55" s="6">
        <f>ZEH等補助金対応システムの見積作成!C39</f>
        <v>1</v>
      </c>
      <c r="L55" s="6"/>
      <c r="AI55" s="4"/>
      <c r="AJ55" s="4"/>
      <c r="AK55" s="4"/>
      <c r="AL55" s="4"/>
      <c r="AM55" s="4"/>
      <c r="AN55" s="4"/>
      <c r="AO55" s="4"/>
      <c r="AP55" s="4"/>
      <c r="AQ55" s="4"/>
      <c r="AR55" s="4"/>
      <c r="AS55" s="4"/>
      <c r="AT55" s="4"/>
      <c r="AU55" s="4"/>
      <c r="AV55" s="4"/>
      <c r="AW55" s="4"/>
      <c r="AX55" s="4"/>
      <c r="AY55" s="4"/>
      <c r="AZ55" s="4"/>
      <c r="BA55" s="4"/>
    </row>
    <row r="56" spans="1:53" s="3" customFormat="1" x14ac:dyDescent="0.15">
      <c r="A56" s="4" t="s">
        <v>240</v>
      </c>
      <c r="B56" s="4"/>
      <c r="C56" s="4" t="str">
        <f>IF(C55=1,"",IF(OR(D55="627",D55="621"),"分岐計測用電流センサ",IF(OR(D55="517"),"計測ユニットセンサオプション1",IF(OR(D55="514",D55="515",D55="622",D55="623"),"CTセンサ種類",IF(OR(D54="37",D54="47",D54="57",D54="67",D54="77",D54="87"),"電流センサ増設用セット","")))))</f>
        <v>CTセンサ種類</v>
      </c>
      <c r="D56" s="3" t="s">
        <v>364</v>
      </c>
      <c r="F56" s="4">
        <f>IF(OR(D54="14",D54="15"),1,IF(OR(D54="17"),2,IF(OR(D54="27",D54="21",D54="22",D54="23"),3,IF(OR(D54="37",D54="47",D54="57",D54="67",D54="77",D54="87"),4,0))))</f>
        <v>1</v>
      </c>
      <c r="G56" s="4"/>
      <c r="H56" s="63" t="s">
        <v>339</v>
      </c>
      <c r="I56" s="63" t="s">
        <v>346</v>
      </c>
      <c r="J56" s="12" t="s">
        <v>357</v>
      </c>
      <c r="K56" s="6">
        <f>ZEH等補助金対応システムの見積作成!C39</f>
        <v>1</v>
      </c>
      <c r="L56" s="6"/>
      <c r="AI56" s="4"/>
      <c r="AJ56" s="4"/>
      <c r="AK56" s="4"/>
      <c r="AL56" s="4"/>
      <c r="AM56" s="4"/>
      <c r="AN56" s="4"/>
      <c r="AO56" s="4"/>
      <c r="AP56" s="4"/>
      <c r="AQ56" s="4"/>
      <c r="AR56" s="4"/>
      <c r="AS56" s="4"/>
      <c r="AT56" s="4"/>
      <c r="AU56" s="4"/>
      <c r="AV56" s="4"/>
      <c r="AW56" s="4"/>
      <c r="AX56" s="4"/>
      <c r="AY56" s="4"/>
      <c r="AZ56" s="4"/>
      <c r="BA56" s="4"/>
    </row>
    <row r="57" spans="1:53" s="3" customFormat="1" x14ac:dyDescent="0.15">
      <c r="A57" s="14" t="s">
        <v>200</v>
      </c>
      <c r="B57" s="4" t="str">
        <f>A57</f>
        <v>なし</v>
      </c>
      <c r="C57" s="4" t="str">
        <f>IF(D50=2,"",VLOOKUP(ZEH等補助金対応システムの見積作成!C23,補助金拾い出し算出シート!A57:B69,2,FALSE))</f>
        <v>POK-C018G</v>
      </c>
      <c r="E57" s="3">
        <f>IFERROR(VLOOKUP(C57,B58:E69,4,FALSE),0)</f>
        <v>4</v>
      </c>
      <c r="F57" s="3">
        <f>IF(OR(E57=0,E57=F56,AND(OR(D55="622",D55="623"),F56=3,E57=1)),1,0)</f>
        <v>0</v>
      </c>
      <c r="G57" s="4"/>
      <c r="H57" s="63" t="s">
        <v>341</v>
      </c>
      <c r="I57" s="63" t="s">
        <v>346</v>
      </c>
      <c r="J57" s="12" t="s">
        <v>358</v>
      </c>
      <c r="K57" s="6">
        <f>ZEH等補助金対応システムの見積作成!C39</f>
        <v>1</v>
      </c>
      <c r="L57" s="6"/>
      <c r="AI57" s="4"/>
      <c r="AJ57" s="4"/>
      <c r="AK57" s="4"/>
      <c r="AL57" s="4"/>
      <c r="AM57" s="4"/>
      <c r="AN57" s="4"/>
      <c r="AO57" s="4"/>
      <c r="AP57" s="4"/>
      <c r="AQ57" s="4"/>
      <c r="AR57" s="4"/>
      <c r="AS57" s="4"/>
      <c r="AT57" s="4"/>
      <c r="AU57" s="4"/>
      <c r="AV57" s="4"/>
      <c r="AW57" s="4"/>
      <c r="AX57" s="4"/>
      <c r="AY57" s="4"/>
      <c r="AZ57" s="4"/>
      <c r="BA57" s="4"/>
    </row>
    <row r="58" spans="1:53" s="3" customFormat="1" x14ac:dyDescent="0.15">
      <c r="A58" s="4" t="s">
        <v>229</v>
      </c>
      <c r="B58" s="4" t="s">
        <v>231</v>
      </c>
      <c r="C58" s="4"/>
      <c r="D58" s="4"/>
      <c r="E58" s="3">
        <v>1</v>
      </c>
      <c r="F58" s="4"/>
      <c r="G58" s="4"/>
      <c r="H58" s="63" t="s">
        <v>379</v>
      </c>
      <c r="I58" s="63" t="s">
        <v>384</v>
      </c>
      <c r="J58" s="12" t="s">
        <v>385</v>
      </c>
      <c r="K58" s="6">
        <f>ZEH等補助金対応システムの見積作成!C24</f>
        <v>1</v>
      </c>
      <c r="L58" s="6"/>
      <c r="AI58" s="4"/>
      <c r="AJ58" s="4"/>
      <c r="AK58" s="4"/>
      <c r="AL58" s="4"/>
      <c r="AM58" s="4"/>
      <c r="AN58" s="4"/>
      <c r="AO58" s="4"/>
      <c r="AP58" s="4"/>
      <c r="AQ58" s="4"/>
      <c r="AR58" s="4"/>
      <c r="AS58" s="4"/>
      <c r="AT58" s="4"/>
      <c r="AU58" s="4"/>
      <c r="AV58" s="4"/>
      <c r="AW58" s="4"/>
      <c r="AX58" s="4"/>
      <c r="AY58" s="4"/>
      <c r="AZ58" s="4"/>
      <c r="BA58" s="4"/>
    </row>
    <row r="59" spans="1:53" s="3" customFormat="1" x14ac:dyDescent="0.15">
      <c r="A59" s="4" t="s">
        <v>230</v>
      </c>
      <c r="B59" s="4" t="s">
        <v>233</v>
      </c>
      <c r="C59" s="4"/>
      <c r="D59" s="4"/>
      <c r="E59" s="3">
        <v>1</v>
      </c>
      <c r="F59" s="4"/>
      <c r="G59" s="4"/>
      <c r="H59" s="63" t="s">
        <v>380</v>
      </c>
      <c r="I59" s="63" t="s">
        <v>384</v>
      </c>
      <c r="J59" s="12" t="s">
        <v>386</v>
      </c>
      <c r="K59" s="6">
        <f>ZEH等補助金対応システムの見積作成!C24</f>
        <v>1</v>
      </c>
      <c r="L59" s="6"/>
      <c r="M59" s="89"/>
      <c r="AI59" s="4"/>
      <c r="AJ59" s="4"/>
      <c r="AK59" s="4"/>
      <c r="AL59" s="4"/>
      <c r="AM59" s="4"/>
      <c r="AN59" s="4"/>
      <c r="AO59" s="4"/>
      <c r="AP59" s="4"/>
      <c r="AQ59" s="4"/>
      <c r="AR59" s="4"/>
      <c r="AS59" s="4"/>
      <c r="AT59" s="4"/>
      <c r="AU59" s="4"/>
      <c r="AV59" s="4"/>
      <c r="AW59" s="4"/>
      <c r="AX59" s="4"/>
      <c r="AY59" s="4"/>
      <c r="AZ59" s="4"/>
      <c r="BA59" s="4"/>
    </row>
    <row r="60" spans="1:53" s="3" customFormat="1" x14ac:dyDescent="0.15">
      <c r="A60" s="4" t="s">
        <v>232</v>
      </c>
      <c r="B60" s="4" t="s">
        <v>234</v>
      </c>
      <c r="C60" s="4"/>
      <c r="D60" s="4"/>
      <c r="E60" s="3">
        <v>1</v>
      </c>
      <c r="F60" s="4"/>
      <c r="G60" s="4"/>
      <c r="H60" s="63" t="s">
        <v>381</v>
      </c>
      <c r="I60" s="63" t="s">
        <v>58</v>
      </c>
      <c r="J60" s="12" t="s">
        <v>387</v>
      </c>
      <c r="K60" s="6">
        <f>ZEH等補助金対応システムの見積作成!C34</f>
        <v>1</v>
      </c>
      <c r="L60" s="6"/>
      <c r="M60" s="89"/>
      <c r="AI60" s="4"/>
      <c r="AJ60" s="4"/>
      <c r="AK60" s="4"/>
      <c r="AL60" s="4"/>
      <c r="AM60" s="4"/>
      <c r="AN60" s="4"/>
      <c r="AO60" s="4"/>
      <c r="AP60" s="4"/>
      <c r="AQ60" s="4"/>
      <c r="AR60" s="4"/>
      <c r="AS60" s="4"/>
      <c r="AT60" s="4"/>
      <c r="AU60" s="4"/>
      <c r="AV60" s="4"/>
      <c r="AW60" s="4"/>
      <c r="AX60" s="4"/>
      <c r="AY60" s="4"/>
      <c r="AZ60" s="4"/>
      <c r="BA60" s="4"/>
    </row>
    <row r="61" spans="1:53" s="3" customFormat="1" x14ac:dyDescent="0.15">
      <c r="A61" s="4" t="s">
        <v>306</v>
      </c>
      <c r="B61" s="4"/>
      <c r="C61" s="4"/>
      <c r="D61" s="4"/>
      <c r="F61" s="4"/>
      <c r="G61" s="4"/>
      <c r="H61" s="63" t="s">
        <v>383</v>
      </c>
      <c r="I61" s="63" t="s">
        <v>382</v>
      </c>
      <c r="J61" s="12" t="s">
        <v>388</v>
      </c>
      <c r="K61" s="6">
        <f>ZEH等補助金対応システムの見積作成!C29</f>
        <v>1</v>
      </c>
      <c r="L61" s="6"/>
      <c r="M61" s="89"/>
      <c r="AI61" s="4"/>
      <c r="AJ61" s="4"/>
      <c r="AK61" s="4"/>
      <c r="AL61" s="4"/>
      <c r="AM61" s="4"/>
      <c r="AN61" s="4"/>
      <c r="AO61" s="4"/>
      <c r="AP61" s="4"/>
      <c r="AQ61" s="4"/>
      <c r="AR61" s="4"/>
      <c r="AS61" s="4"/>
      <c r="AT61" s="4"/>
      <c r="AU61" s="4"/>
      <c r="AV61" s="4"/>
      <c r="AW61" s="4"/>
      <c r="AX61" s="4"/>
      <c r="AY61" s="4"/>
      <c r="AZ61" s="4"/>
      <c r="BA61" s="4"/>
    </row>
    <row r="62" spans="1:53" s="3" customFormat="1" x14ac:dyDescent="0.15">
      <c r="A62" s="13" t="s">
        <v>372</v>
      </c>
      <c r="B62" s="13" t="s">
        <v>290</v>
      </c>
      <c r="C62" s="4"/>
      <c r="D62" s="4"/>
      <c r="E62" s="3">
        <v>2</v>
      </c>
      <c r="F62" s="4"/>
      <c r="G62" s="4"/>
      <c r="H62" s="4"/>
      <c r="I62" s="4"/>
      <c r="J62" s="15"/>
      <c r="AI62" s="4"/>
      <c r="AJ62" s="4"/>
      <c r="AK62" s="4"/>
      <c r="AL62" s="4"/>
      <c r="AM62" s="4"/>
      <c r="AN62" s="4"/>
      <c r="AO62" s="4"/>
      <c r="AP62" s="4"/>
      <c r="AQ62" s="4"/>
      <c r="AR62" s="4"/>
      <c r="AS62" s="4"/>
      <c r="AT62" s="4"/>
      <c r="AU62" s="4"/>
      <c r="AV62" s="4"/>
      <c r="AW62" s="4"/>
      <c r="AX62" s="4"/>
      <c r="AY62" s="4"/>
      <c r="AZ62" s="4"/>
      <c r="BA62" s="4"/>
    </row>
    <row r="63" spans="1:53" s="3" customFormat="1" x14ac:dyDescent="0.15">
      <c r="A63" s="13" t="s">
        <v>373</v>
      </c>
      <c r="B63" s="13" t="s">
        <v>292</v>
      </c>
      <c r="C63" s="4"/>
      <c r="D63" s="4"/>
      <c r="E63" s="3">
        <v>2</v>
      </c>
      <c r="F63" s="4"/>
      <c r="G63" s="4"/>
      <c r="H63" s="4"/>
      <c r="I63" s="4"/>
      <c r="J63" s="15"/>
      <c r="AI63" s="4"/>
      <c r="AJ63" s="4"/>
      <c r="AK63" s="4"/>
      <c r="AL63" s="4"/>
      <c r="AM63" s="4"/>
      <c r="AN63" s="4"/>
      <c r="AO63" s="4"/>
      <c r="AP63" s="4"/>
      <c r="AQ63" s="4"/>
      <c r="AR63" s="4"/>
      <c r="AS63" s="4"/>
      <c r="AT63" s="4"/>
      <c r="AU63" s="4"/>
      <c r="AV63" s="4"/>
      <c r="AW63" s="4"/>
      <c r="AX63" s="4"/>
      <c r="AY63" s="4"/>
      <c r="AZ63" s="4"/>
      <c r="BA63" s="4"/>
    </row>
    <row r="64" spans="1:53" s="3" customFormat="1" x14ac:dyDescent="0.15">
      <c r="A64" s="13" t="s">
        <v>374</v>
      </c>
      <c r="B64" s="13" t="s">
        <v>294</v>
      </c>
      <c r="C64" s="4"/>
      <c r="D64" s="4"/>
      <c r="E64" s="3">
        <v>2</v>
      </c>
      <c r="G64" s="4"/>
      <c r="H64" s="4"/>
      <c r="I64" s="4"/>
      <c r="J64" s="15"/>
      <c r="AI64" s="4"/>
      <c r="AJ64" s="4"/>
      <c r="AK64" s="4"/>
      <c r="AL64" s="4"/>
      <c r="AM64" s="4"/>
      <c r="AN64" s="4"/>
      <c r="AO64" s="4"/>
      <c r="AP64" s="4"/>
      <c r="AQ64" s="4"/>
      <c r="AR64" s="4"/>
      <c r="AS64" s="4"/>
      <c r="AT64" s="4"/>
      <c r="AU64" s="4"/>
      <c r="AV64" s="4"/>
      <c r="AW64" s="4"/>
      <c r="AX64" s="4"/>
      <c r="AY64" s="4"/>
      <c r="AZ64" s="4"/>
      <c r="BA64" s="4"/>
    </row>
    <row r="65" spans="1:53" s="3" customFormat="1" x14ac:dyDescent="0.15">
      <c r="A65" s="4" t="s">
        <v>93</v>
      </c>
      <c r="B65" s="4" t="str">
        <f>A65</f>
        <v>なし</v>
      </c>
      <c r="C65" s="4"/>
      <c r="D65" s="4"/>
      <c r="G65" s="4"/>
      <c r="H65" s="4"/>
      <c r="I65" s="4"/>
      <c r="J65" s="15"/>
      <c r="AI65" s="4"/>
      <c r="AJ65" s="4"/>
      <c r="AK65" s="4"/>
      <c r="AL65" s="4"/>
      <c r="AM65" s="4"/>
      <c r="AN65" s="4"/>
      <c r="AO65" s="4"/>
      <c r="AP65" s="4"/>
      <c r="AQ65" s="4"/>
      <c r="AR65" s="4"/>
      <c r="AS65" s="4"/>
      <c r="AT65" s="4"/>
      <c r="AU65" s="4"/>
      <c r="AV65" s="4"/>
      <c r="AW65" s="4"/>
      <c r="AX65" s="4"/>
      <c r="AY65" s="4"/>
      <c r="AZ65" s="4"/>
      <c r="BA65" s="4"/>
    </row>
    <row r="66" spans="1:53" s="3" customFormat="1" x14ac:dyDescent="0.15">
      <c r="A66" s="4" t="s">
        <v>377</v>
      </c>
      <c r="B66" s="4" t="s">
        <v>370</v>
      </c>
      <c r="C66" s="4"/>
      <c r="D66" s="4"/>
      <c r="E66" s="3">
        <v>3</v>
      </c>
      <c r="G66" s="4"/>
      <c r="H66" s="4"/>
      <c r="I66" s="4"/>
      <c r="J66" s="15"/>
      <c r="AI66" s="4"/>
      <c r="AJ66" s="4"/>
      <c r="AK66" s="4"/>
      <c r="AL66" s="4"/>
      <c r="AM66" s="4"/>
      <c r="AN66" s="4"/>
      <c r="AO66" s="4"/>
      <c r="AP66" s="4"/>
      <c r="AQ66" s="4"/>
      <c r="AR66" s="4"/>
      <c r="AS66" s="4"/>
      <c r="AT66" s="4"/>
      <c r="AU66" s="4"/>
      <c r="AV66" s="4"/>
      <c r="AW66" s="4"/>
      <c r="AX66" s="4"/>
      <c r="AY66" s="4"/>
      <c r="AZ66" s="4"/>
      <c r="BA66" s="4"/>
    </row>
    <row r="67" spans="1:53" s="3" customFormat="1" x14ac:dyDescent="0.15">
      <c r="A67" s="13" t="s">
        <v>93</v>
      </c>
      <c r="B67" s="13"/>
      <c r="C67" s="4"/>
      <c r="D67" s="4"/>
      <c r="F67" s="4"/>
      <c r="G67" s="4"/>
      <c r="H67" s="4"/>
      <c r="I67" s="4"/>
      <c r="J67" s="15"/>
      <c r="AI67" s="4"/>
      <c r="AJ67" s="4"/>
      <c r="AK67" s="4"/>
      <c r="AL67" s="4"/>
      <c r="AM67" s="4"/>
      <c r="AN67" s="4"/>
      <c r="AO67" s="4"/>
      <c r="AP67" s="4"/>
      <c r="AQ67" s="4"/>
      <c r="AR67" s="4"/>
      <c r="AS67" s="4"/>
      <c r="AT67" s="4"/>
      <c r="AU67" s="4"/>
      <c r="AV67" s="4"/>
      <c r="AW67" s="4"/>
      <c r="AX67" s="4"/>
      <c r="AY67" s="4"/>
      <c r="AZ67" s="4"/>
      <c r="BA67" s="4"/>
    </row>
    <row r="68" spans="1:53" s="3" customFormat="1" x14ac:dyDescent="0.15">
      <c r="A68" s="13" t="s">
        <v>385</v>
      </c>
      <c r="B68" s="13" t="s">
        <v>379</v>
      </c>
      <c r="E68" s="3">
        <v>4</v>
      </c>
      <c r="F68" s="4"/>
      <c r="G68" s="4"/>
      <c r="H68" s="4"/>
      <c r="I68" s="4"/>
      <c r="J68" s="15"/>
      <c r="AI68" s="4"/>
      <c r="AJ68" s="4"/>
      <c r="AK68" s="4"/>
      <c r="AL68" s="4"/>
      <c r="AM68" s="4"/>
      <c r="AN68" s="4"/>
      <c r="AO68" s="4"/>
      <c r="AP68" s="4"/>
      <c r="AQ68" s="4"/>
      <c r="AR68" s="4"/>
      <c r="AS68" s="4"/>
      <c r="AT68" s="4"/>
      <c r="AU68" s="4"/>
      <c r="AV68" s="4"/>
      <c r="AW68" s="4"/>
      <c r="AX68" s="4"/>
      <c r="AY68" s="4"/>
      <c r="AZ68" s="4"/>
      <c r="BA68" s="4"/>
    </row>
    <row r="69" spans="1:53" s="3" customFormat="1" x14ac:dyDescent="0.15">
      <c r="A69" s="13" t="s">
        <v>386</v>
      </c>
      <c r="B69" s="13" t="s">
        <v>380</v>
      </c>
      <c r="E69" s="3">
        <v>4</v>
      </c>
      <c r="F69" s="4"/>
      <c r="G69" s="4"/>
      <c r="H69" s="4"/>
      <c r="I69" s="4"/>
      <c r="J69" s="15"/>
      <c r="AI69" s="4"/>
      <c r="AJ69" s="4"/>
      <c r="AK69" s="4"/>
      <c r="AL69" s="4"/>
      <c r="AM69" s="4"/>
      <c r="AN69" s="4"/>
      <c r="AO69" s="4"/>
      <c r="AP69" s="4"/>
      <c r="AQ69" s="4"/>
      <c r="AR69" s="4"/>
      <c r="AS69" s="4"/>
      <c r="AT69" s="4"/>
      <c r="AU69" s="4"/>
      <c r="AV69" s="4"/>
      <c r="AW69" s="4"/>
      <c r="AX69" s="4"/>
      <c r="AY69" s="4"/>
      <c r="AZ69" s="4"/>
      <c r="BA69" s="4"/>
    </row>
    <row r="70" spans="1:53" s="3" customFormat="1" x14ac:dyDescent="0.15">
      <c r="F70" s="4"/>
      <c r="G70" s="4"/>
      <c r="H70" s="4"/>
      <c r="I70" s="4"/>
      <c r="J70" s="15"/>
      <c r="AI70" s="4"/>
      <c r="AJ70" s="4"/>
      <c r="AK70" s="4"/>
      <c r="AL70" s="4"/>
      <c r="AM70" s="4"/>
      <c r="AN70" s="4"/>
      <c r="AO70" s="4"/>
      <c r="AP70" s="4"/>
      <c r="AQ70" s="4"/>
      <c r="AR70" s="4"/>
      <c r="AS70" s="4"/>
      <c r="AT70" s="4"/>
      <c r="AU70" s="4"/>
      <c r="AV70" s="4"/>
      <c r="AW70" s="4"/>
      <c r="AX70" s="4"/>
      <c r="AY70" s="4"/>
      <c r="AZ70" s="4"/>
      <c r="BA70" s="4"/>
    </row>
    <row r="71" spans="1:53" s="3" customFormat="1" ht="19.5" x14ac:dyDescent="0.15">
      <c r="A71" s="79" t="s">
        <v>390</v>
      </c>
      <c r="C71" s="10" t="str">
        <f>IF(ZEH等補助金対応システムの見積作成!B27="拾い出し部材はありません(下記部材は拾い出されません)",1,"")</f>
        <v/>
      </c>
      <c r="F71" s="4"/>
      <c r="G71" s="4"/>
      <c r="H71" s="4"/>
      <c r="I71" s="4"/>
      <c r="J71" s="15"/>
      <c r="AI71" s="4"/>
      <c r="AJ71" s="4"/>
      <c r="AK71" s="4"/>
      <c r="AL71" s="4"/>
      <c r="AM71" s="4"/>
      <c r="AN71" s="4"/>
      <c r="AO71" s="4"/>
      <c r="AP71" s="4"/>
      <c r="AQ71" s="4"/>
      <c r="AR71" s="4"/>
      <c r="AS71" s="4"/>
      <c r="AT71" s="4"/>
      <c r="AU71" s="4"/>
      <c r="AV71" s="4"/>
      <c r="AW71" s="4"/>
      <c r="AX71" s="4"/>
      <c r="AY71" s="4"/>
      <c r="AZ71" s="4"/>
      <c r="BA71" s="4"/>
    </row>
    <row r="72" spans="1:53" s="3" customFormat="1" x14ac:dyDescent="0.15">
      <c r="A72" s="15" t="s">
        <v>241</v>
      </c>
      <c r="C72" s="4" t="str">
        <f>IF(C71=1,"",IF(OR(D55="627",D55="621"),"分岐計測用電流センサケーブル",IF(OR(D55="517"),"計測ユニットセンサオプション2",IF(OR(D54="37",D54="47",D54="57",D54="67",D54="77",D54="87"),"電流センサ増設用","CTケーブル種類"))))</f>
        <v>CTケーブル種類</v>
      </c>
      <c r="F72" s="4"/>
      <c r="G72" s="4"/>
      <c r="J72" s="15"/>
      <c r="AI72" s="4"/>
      <c r="AJ72" s="4"/>
      <c r="AK72" s="4"/>
      <c r="AL72" s="4"/>
      <c r="AM72" s="4"/>
      <c r="AN72" s="4"/>
      <c r="AO72" s="4"/>
      <c r="AP72" s="4"/>
      <c r="AQ72" s="4"/>
      <c r="AR72" s="4"/>
      <c r="AS72" s="4"/>
      <c r="AT72" s="4"/>
      <c r="AU72" s="4"/>
      <c r="AV72" s="4"/>
      <c r="AW72" s="4"/>
      <c r="AX72" s="4"/>
      <c r="AY72" s="4"/>
      <c r="AZ72" s="4"/>
      <c r="BA72" s="4"/>
    </row>
    <row r="73" spans="1:53" s="3" customFormat="1" x14ac:dyDescent="0.15">
      <c r="A73" s="14" t="s">
        <v>325</v>
      </c>
      <c r="B73" s="4" t="str">
        <f>A73</f>
        <v>なし</v>
      </c>
      <c r="C73" s="4" t="str">
        <f>IF(D50=2,"",IF(VLOOKUP(ZEH等補助金対応システムの見積作成!C28,A73:B86,2,FALSE)="なし","",VLOOKUP(ZEH等補助金対応システムの見積作成!C28,A73:B86,2,FALSE)))</f>
        <v>POK-S016</v>
      </c>
      <c r="E73" s="3">
        <f>IFERROR(VLOOKUP(C73,B74:E86,4,FALSE),0)</f>
        <v>4</v>
      </c>
      <c r="F73" s="4">
        <f>IF(OR(E73=0,E73=F56,AND(OR(D55="622",D55="623"),F56=3,E73=1)),1,0)</f>
        <v>0</v>
      </c>
      <c r="G73" s="4"/>
      <c r="J73" s="15"/>
      <c r="AI73" s="4"/>
      <c r="AJ73" s="4"/>
      <c r="AK73" s="4"/>
      <c r="AL73" s="4"/>
      <c r="AM73" s="4"/>
      <c r="AN73" s="4"/>
      <c r="AO73" s="4"/>
      <c r="AP73" s="4"/>
      <c r="AQ73" s="4"/>
      <c r="AR73" s="4"/>
      <c r="AS73" s="4"/>
      <c r="AT73" s="4"/>
      <c r="AU73" s="4"/>
      <c r="AV73" s="4"/>
      <c r="AW73" s="4"/>
      <c r="AX73" s="4"/>
      <c r="AY73" s="4"/>
      <c r="AZ73" s="4"/>
      <c r="BA73" s="4"/>
    </row>
    <row r="74" spans="1:53" s="3" customFormat="1" x14ac:dyDescent="0.15">
      <c r="A74" s="13" t="s">
        <v>235</v>
      </c>
      <c r="B74" s="13" t="s">
        <v>461</v>
      </c>
      <c r="D74" s="4"/>
      <c r="E74" s="3">
        <v>1</v>
      </c>
      <c r="F74" s="4"/>
      <c r="G74" s="4"/>
      <c r="H74" s="4"/>
      <c r="I74" s="4"/>
      <c r="J74" s="15"/>
      <c r="AI74" s="4"/>
      <c r="AJ74" s="4"/>
      <c r="AK74" s="4"/>
      <c r="AL74" s="4"/>
      <c r="AM74" s="4"/>
      <c r="AN74" s="4"/>
      <c r="AO74" s="4"/>
      <c r="AP74" s="4"/>
      <c r="AQ74" s="4"/>
      <c r="AR74" s="4"/>
      <c r="AS74" s="4"/>
      <c r="AT74" s="4"/>
      <c r="AU74" s="4"/>
      <c r="AV74" s="4"/>
      <c r="AW74" s="4"/>
      <c r="AX74" s="4"/>
      <c r="AY74" s="4"/>
      <c r="AZ74" s="4"/>
      <c r="BA74" s="4"/>
    </row>
    <row r="75" spans="1:53" s="3" customFormat="1" x14ac:dyDescent="0.15">
      <c r="A75" s="13" t="s">
        <v>236</v>
      </c>
      <c r="B75" s="13" t="s">
        <v>462</v>
      </c>
      <c r="C75" s="4"/>
      <c r="D75" s="4"/>
      <c r="E75" s="3">
        <v>1</v>
      </c>
      <c r="F75" s="4"/>
      <c r="G75" s="4"/>
      <c r="H75" s="4"/>
      <c r="I75" s="4"/>
      <c r="J75" s="15"/>
      <c r="AI75" s="4"/>
      <c r="AJ75" s="4"/>
      <c r="AK75" s="4"/>
      <c r="AL75" s="4"/>
      <c r="AM75" s="4"/>
      <c r="AN75" s="4"/>
      <c r="AO75" s="4"/>
      <c r="AP75" s="4"/>
      <c r="AQ75" s="4"/>
      <c r="AR75" s="4"/>
      <c r="AS75" s="4"/>
      <c r="AT75" s="4"/>
      <c r="AU75" s="4"/>
      <c r="AV75" s="4"/>
      <c r="AW75" s="4"/>
      <c r="AX75" s="4"/>
      <c r="AY75" s="4"/>
      <c r="AZ75" s="4"/>
      <c r="BA75" s="4"/>
    </row>
    <row r="76" spans="1:53" s="3" customFormat="1" x14ac:dyDescent="0.15">
      <c r="A76" s="13" t="s">
        <v>237</v>
      </c>
      <c r="B76" s="13" t="s">
        <v>463</v>
      </c>
      <c r="C76" s="4"/>
      <c r="D76" s="4"/>
      <c r="E76" s="3">
        <v>1</v>
      </c>
      <c r="F76" s="4"/>
      <c r="G76" s="4"/>
      <c r="H76" s="4"/>
      <c r="I76" s="4"/>
      <c r="J76" s="15"/>
      <c r="AI76" s="4"/>
      <c r="AJ76" s="4"/>
      <c r="AK76" s="4"/>
      <c r="AL76" s="4"/>
      <c r="AM76" s="4"/>
      <c r="AN76" s="4"/>
      <c r="AO76" s="4"/>
      <c r="AP76" s="4"/>
      <c r="AQ76" s="4"/>
      <c r="AR76" s="4"/>
      <c r="AS76" s="4"/>
      <c r="AT76" s="4"/>
      <c r="AU76" s="4"/>
      <c r="AV76" s="4"/>
      <c r="AW76" s="4"/>
      <c r="AX76" s="4"/>
      <c r="AY76" s="4"/>
      <c r="AZ76" s="4"/>
      <c r="BA76" s="4"/>
    </row>
    <row r="77" spans="1:53" s="3" customFormat="1" x14ac:dyDescent="0.15">
      <c r="A77" s="13" t="s">
        <v>306</v>
      </c>
      <c r="B77" s="13" t="s">
        <v>306</v>
      </c>
      <c r="C77" s="4"/>
      <c r="D77" s="4"/>
      <c r="F77" s="4"/>
      <c r="G77" s="4"/>
      <c r="H77" s="4"/>
      <c r="I77" s="4"/>
      <c r="J77" s="15"/>
      <c r="AI77" s="4"/>
      <c r="AJ77" s="4"/>
      <c r="AK77" s="4"/>
      <c r="AL77" s="4"/>
      <c r="AM77" s="4"/>
      <c r="AN77" s="4"/>
      <c r="AO77" s="4"/>
      <c r="AP77" s="4"/>
      <c r="AQ77" s="4"/>
      <c r="AR77" s="4"/>
      <c r="AS77" s="4"/>
      <c r="AT77" s="4"/>
      <c r="AU77" s="4"/>
      <c r="AV77" s="4"/>
      <c r="AW77" s="4"/>
      <c r="AX77" s="4"/>
      <c r="AY77" s="4"/>
      <c r="AZ77" s="4"/>
      <c r="BA77" s="4"/>
    </row>
    <row r="78" spans="1:53" s="3" customFormat="1" x14ac:dyDescent="0.15">
      <c r="A78" s="13" t="s">
        <v>375</v>
      </c>
      <c r="B78" s="13" t="s">
        <v>296</v>
      </c>
      <c r="C78" s="4"/>
      <c r="D78" s="4"/>
      <c r="E78" s="3">
        <v>2</v>
      </c>
      <c r="F78" s="4"/>
      <c r="G78" s="4"/>
      <c r="H78" s="4"/>
      <c r="I78" s="4"/>
      <c r="J78" s="15"/>
      <c r="AI78" s="4"/>
      <c r="AJ78" s="4"/>
      <c r="AK78" s="4"/>
      <c r="AL78" s="4"/>
      <c r="AM78" s="4"/>
      <c r="AN78" s="4"/>
      <c r="AO78" s="4"/>
      <c r="AP78" s="4"/>
      <c r="AQ78" s="4"/>
      <c r="AR78" s="4"/>
      <c r="AS78" s="4"/>
      <c r="AT78" s="4"/>
      <c r="AU78" s="4"/>
      <c r="AV78" s="4"/>
      <c r="AW78" s="4"/>
      <c r="AX78" s="4"/>
      <c r="AY78" s="4"/>
      <c r="AZ78" s="4"/>
      <c r="BA78" s="4"/>
    </row>
    <row r="79" spans="1:53" s="3" customFormat="1" x14ac:dyDescent="0.15">
      <c r="A79" s="13" t="s">
        <v>376</v>
      </c>
      <c r="B79" s="13" t="s">
        <v>297</v>
      </c>
      <c r="C79" s="4"/>
      <c r="D79" s="4"/>
      <c r="E79" s="3">
        <v>2</v>
      </c>
      <c r="F79" s="4"/>
      <c r="G79" s="4"/>
      <c r="H79" s="4"/>
      <c r="I79" s="4"/>
      <c r="J79" s="15"/>
      <c r="AI79" s="4"/>
      <c r="AJ79" s="4"/>
      <c r="AK79" s="4"/>
      <c r="AL79" s="4"/>
      <c r="AM79" s="4"/>
      <c r="AN79" s="4"/>
      <c r="AO79" s="4"/>
      <c r="AP79" s="4"/>
      <c r="AQ79" s="4"/>
      <c r="AR79" s="4"/>
      <c r="AS79" s="4"/>
      <c r="AT79" s="4"/>
      <c r="AU79" s="4"/>
      <c r="AV79" s="4"/>
      <c r="AW79" s="4"/>
      <c r="AX79" s="4"/>
      <c r="AY79" s="4"/>
      <c r="AZ79" s="4"/>
      <c r="BA79" s="4"/>
    </row>
    <row r="80" spans="1:53" s="3" customFormat="1" x14ac:dyDescent="0.15">
      <c r="A80" s="13" t="s">
        <v>93</v>
      </c>
      <c r="B80" s="13" t="s">
        <v>363</v>
      </c>
      <c r="C80" s="4"/>
      <c r="D80" s="4"/>
      <c r="E80" s="3">
        <v>0</v>
      </c>
      <c r="F80" s="4"/>
      <c r="G80" s="4"/>
      <c r="H80" s="4"/>
      <c r="I80" s="4"/>
      <c r="J80" s="15"/>
      <c r="AI80" s="4"/>
      <c r="AJ80" s="4"/>
      <c r="AK80" s="4"/>
      <c r="AL80" s="4"/>
      <c r="AM80" s="4"/>
      <c r="AN80" s="4"/>
      <c r="AO80" s="4"/>
      <c r="AP80" s="4"/>
      <c r="AQ80" s="4"/>
      <c r="AR80" s="4"/>
      <c r="AS80" s="4"/>
      <c r="AT80" s="4"/>
      <c r="AU80" s="4"/>
      <c r="AV80" s="4"/>
      <c r="AW80" s="4"/>
      <c r="AX80" s="4"/>
      <c r="AY80" s="4"/>
      <c r="AZ80" s="4"/>
      <c r="BA80" s="4"/>
    </row>
    <row r="81" spans="1:53" s="3" customFormat="1" x14ac:dyDescent="0.15">
      <c r="A81" s="4" t="s">
        <v>350</v>
      </c>
      <c r="B81" s="4" t="s">
        <v>366</v>
      </c>
      <c r="C81" s="4"/>
      <c r="D81" s="4"/>
      <c r="E81" s="3">
        <v>3</v>
      </c>
      <c r="F81" s="4"/>
      <c r="G81" s="4"/>
      <c r="H81" s="4"/>
      <c r="I81" s="4"/>
      <c r="J81" s="15"/>
      <c r="AI81" s="4"/>
      <c r="AJ81" s="4"/>
      <c r="AK81" s="4"/>
      <c r="AL81" s="4"/>
      <c r="AM81" s="4"/>
      <c r="AN81" s="4"/>
      <c r="AO81" s="4"/>
      <c r="AP81" s="4"/>
      <c r="AQ81" s="4"/>
      <c r="AR81" s="4"/>
      <c r="AS81" s="4"/>
      <c r="AT81" s="4"/>
      <c r="AU81" s="4"/>
      <c r="AV81" s="4"/>
      <c r="AW81" s="4"/>
      <c r="AX81" s="4"/>
      <c r="AY81" s="4"/>
      <c r="AZ81" s="4"/>
      <c r="BA81" s="4"/>
    </row>
    <row r="82" spans="1:53" s="3" customFormat="1" x14ac:dyDescent="0.15">
      <c r="A82" s="4" t="s">
        <v>351</v>
      </c>
      <c r="B82" s="4" t="s">
        <v>367</v>
      </c>
      <c r="C82" s="4"/>
      <c r="D82" s="4"/>
      <c r="E82" s="3">
        <v>3</v>
      </c>
      <c r="F82" s="4"/>
      <c r="G82" s="4"/>
      <c r="H82" s="4"/>
      <c r="I82" s="4"/>
      <c r="J82" s="15"/>
      <c r="AI82" s="4"/>
      <c r="AJ82" s="4"/>
      <c r="AK82" s="4"/>
      <c r="AL82" s="4"/>
      <c r="AM82" s="4"/>
      <c r="AN82" s="4"/>
      <c r="AO82" s="4"/>
      <c r="AP82" s="4"/>
      <c r="AQ82" s="4"/>
      <c r="AR82" s="4"/>
      <c r="AS82" s="4"/>
      <c r="AT82" s="4"/>
      <c r="AU82" s="4"/>
      <c r="AV82" s="4"/>
      <c r="AW82" s="4"/>
      <c r="AX82" s="4"/>
      <c r="AY82" s="4"/>
      <c r="AZ82" s="4"/>
      <c r="BA82" s="4"/>
    </row>
    <row r="83" spans="1:53" s="3" customFormat="1" x14ac:dyDescent="0.15">
      <c r="A83" s="4" t="s">
        <v>352</v>
      </c>
      <c r="B83" s="4" t="s">
        <v>368</v>
      </c>
      <c r="C83" s="4"/>
      <c r="D83" s="4"/>
      <c r="E83" s="3">
        <v>3</v>
      </c>
      <c r="F83" s="4"/>
      <c r="G83" s="4"/>
      <c r="H83" s="4"/>
      <c r="I83" s="4"/>
      <c r="J83" s="15"/>
      <c r="AI83" s="4"/>
      <c r="AJ83" s="4"/>
      <c r="AK83" s="4"/>
      <c r="AL83" s="4"/>
      <c r="AM83" s="4"/>
      <c r="AN83" s="4"/>
      <c r="AO83" s="4"/>
      <c r="AP83" s="4"/>
      <c r="AQ83" s="4"/>
      <c r="AR83" s="4"/>
      <c r="AS83" s="4"/>
      <c r="AT83" s="4"/>
      <c r="AU83" s="4"/>
      <c r="AV83" s="4"/>
      <c r="AW83" s="4"/>
      <c r="AX83" s="4"/>
      <c r="AY83" s="4"/>
      <c r="AZ83" s="4"/>
      <c r="BA83" s="4"/>
    </row>
    <row r="84" spans="1:53" s="3" customFormat="1" x14ac:dyDescent="0.15">
      <c r="A84" s="4" t="s">
        <v>353</v>
      </c>
      <c r="B84" s="4" t="s">
        <v>369</v>
      </c>
      <c r="C84" s="4"/>
      <c r="D84" s="4"/>
      <c r="E84" s="3">
        <v>3</v>
      </c>
      <c r="F84" s="4"/>
      <c r="G84" s="4"/>
      <c r="H84" s="4"/>
      <c r="I84" s="4"/>
      <c r="J84" s="15"/>
      <c r="AI84" s="4"/>
      <c r="AJ84" s="4"/>
      <c r="AK84" s="4"/>
      <c r="AL84" s="4"/>
      <c r="AM84" s="4"/>
      <c r="AN84" s="4"/>
      <c r="AO84" s="4"/>
      <c r="AP84" s="4"/>
      <c r="AQ84" s="4"/>
      <c r="AR84" s="4"/>
      <c r="AS84" s="4"/>
      <c r="AT84" s="4"/>
      <c r="AU84" s="4"/>
      <c r="AV84" s="4"/>
      <c r="AW84" s="4"/>
      <c r="AX84" s="4"/>
      <c r="AY84" s="4"/>
      <c r="AZ84" s="4"/>
      <c r="BA84" s="4"/>
    </row>
    <row r="85" spans="1:53" s="3" customFormat="1" x14ac:dyDescent="0.15">
      <c r="A85" s="68" t="s">
        <v>93</v>
      </c>
      <c r="B85" s="74"/>
      <c r="C85" s="4"/>
      <c r="D85" s="4"/>
      <c r="F85" s="4"/>
      <c r="G85" s="4"/>
      <c r="H85" s="4"/>
      <c r="I85" s="4"/>
      <c r="J85" s="15"/>
      <c r="AI85" s="4"/>
      <c r="AJ85" s="4"/>
      <c r="AK85" s="4"/>
      <c r="AL85" s="4"/>
      <c r="AM85" s="4"/>
      <c r="AN85" s="4"/>
      <c r="AO85" s="4"/>
      <c r="AP85" s="4"/>
      <c r="AQ85" s="4"/>
      <c r="AR85" s="4"/>
      <c r="AS85" s="4"/>
      <c r="AT85" s="4"/>
      <c r="AU85" s="4"/>
      <c r="AV85" s="4"/>
      <c r="AW85" s="4"/>
      <c r="AX85" s="4"/>
      <c r="AY85" s="4"/>
      <c r="AZ85" s="4"/>
      <c r="BA85" s="4"/>
    </row>
    <row r="86" spans="1:53" x14ac:dyDescent="0.15">
      <c r="A86" s="13" t="s">
        <v>388</v>
      </c>
      <c r="B86" s="68" t="s">
        <v>383</v>
      </c>
      <c r="E86" s="3">
        <v>4</v>
      </c>
    </row>
    <row r="87" spans="1:53" x14ac:dyDescent="0.15">
      <c r="A87" s="3"/>
      <c r="B87" s="3"/>
    </row>
    <row r="88" spans="1:53" ht="19.5" x14ac:dyDescent="0.15">
      <c r="A88" s="80" t="s">
        <v>391</v>
      </c>
      <c r="B88" s="3"/>
      <c r="C88" s="4" t="str">
        <f>IF(ZEH等補助金対応システムの見積作成!B32="拾い出し部材はありません(下記部材は拾い出されません)",1,"")</f>
        <v/>
      </c>
    </row>
    <row r="89" spans="1:53" x14ac:dyDescent="0.15">
      <c r="A89" s="13" t="s">
        <v>306</v>
      </c>
      <c r="B89" s="13" t="s">
        <v>306</v>
      </c>
      <c r="C89" s="4" t="str">
        <f>IF(ZEH等補助金対応システムの見積作成!B32="⑧電力計測電流センサ(種類と数量）","電力計測電流センサ",IF(ZEH等補助金対応システムの見積作成!B32="⑧発電電力計測用電流センサ(種類と数量)","発電電力計測用電流センサ",IF(ZEH等補助金対応システムの見積作成!B32="⑧主幹/外部発電機用電流センサ(数量)","主幹外部発電機用",IF(ZEH等補助金対応システムの見積作成!B32="⑧電流センサ増設用ケーブル(種類と数量)","電流センサ増設用ケーブル",IF(ZEH等補助金対応システムの見積作成!B32="⑧主幹/外部発電機用電流センサ(種類と数量)","主幹外部発電機用","")))))</f>
        <v>電力計測電流センサ</v>
      </c>
      <c r="E89" s="3">
        <f>IFERROR(VLOOKUP(C90,B90:E99,4,FALSE),0)</f>
        <v>4</v>
      </c>
      <c r="F89" s="4">
        <f>IF(C88=1,1,IF(OR(E89=0,E89=2,E89=F56),1,0))</f>
        <v>0</v>
      </c>
      <c r="M89" s="89"/>
      <c r="N89" s="89"/>
      <c r="O89" s="89"/>
      <c r="P89" s="89"/>
      <c r="Q89" s="89"/>
      <c r="R89" s="89"/>
      <c r="S89" s="89"/>
      <c r="T89" s="89"/>
      <c r="U89" s="89"/>
      <c r="V89" s="89"/>
      <c r="W89" s="89"/>
      <c r="X89" s="89"/>
      <c r="Y89" s="89"/>
      <c r="Z89" s="89"/>
      <c r="AA89" s="89"/>
      <c r="AB89" s="89"/>
      <c r="AC89" s="89"/>
      <c r="AD89" s="89"/>
      <c r="AE89" s="89"/>
      <c r="AF89" s="89"/>
      <c r="AG89" s="89"/>
      <c r="AH89" s="89"/>
    </row>
    <row r="90" spans="1:53" x14ac:dyDescent="0.15">
      <c r="A90" s="13" t="s">
        <v>371</v>
      </c>
      <c r="B90" s="13" t="s">
        <v>299</v>
      </c>
      <c r="C90" s="4" t="str">
        <f>IF(D50=2,"",IF(C88=1,"",IFERROR(VLOOKUP(ZEH等補助金対応システムの見積作成!C33,A89:B99,2,FALSE),"")))</f>
        <v>POK-C100X</v>
      </c>
      <c r="E90" s="3">
        <v>2</v>
      </c>
      <c r="K90" s="89"/>
      <c r="L90" s="89"/>
      <c r="M90" s="89"/>
      <c r="N90" s="89"/>
      <c r="O90" s="89"/>
      <c r="P90" s="89"/>
      <c r="Q90" s="89"/>
      <c r="R90" s="89"/>
      <c r="S90" s="89"/>
      <c r="T90" s="89"/>
      <c r="U90" s="89"/>
      <c r="V90" s="89"/>
      <c r="W90" s="89"/>
      <c r="X90" s="89"/>
      <c r="Y90" s="89"/>
      <c r="Z90" s="89"/>
      <c r="AA90" s="89"/>
      <c r="AB90" s="89"/>
      <c r="AC90" s="89"/>
      <c r="AD90" s="89"/>
      <c r="AE90" s="89"/>
      <c r="AF90" s="89"/>
      <c r="AG90" s="89"/>
      <c r="AH90" s="89"/>
    </row>
    <row r="91" spans="1:53" x14ac:dyDescent="0.15">
      <c r="A91" s="4" t="s">
        <v>363</v>
      </c>
      <c r="B91" s="4" t="s">
        <v>363</v>
      </c>
      <c r="K91" s="89"/>
      <c r="L91" s="89"/>
      <c r="M91" s="89"/>
      <c r="N91" s="89"/>
      <c r="O91" s="89"/>
      <c r="P91" s="89"/>
      <c r="Q91" s="89"/>
      <c r="R91" s="89"/>
      <c r="S91" s="89"/>
      <c r="T91" s="89"/>
      <c r="U91" s="89"/>
      <c r="V91" s="89"/>
      <c r="W91" s="89"/>
      <c r="X91" s="89"/>
      <c r="Y91" s="89"/>
      <c r="Z91" s="89"/>
      <c r="AA91" s="89"/>
      <c r="AB91" s="89"/>
      <c r="AC91" s="89"/>
      <c r="AD91" s="89"/>
      <c r="AE91" s="89"/>
      <c r="AF91" s="89"/>
      <c r="AG91" s="89"/>
      <c r="AH91" s="89"/>
    </row>
    <row r="92" spans="1:53" x14ac:dyDescent="0.15">
      <c r="A92" s="13" t="s">
        <v>359</v>
      </c>
      <c r="B92" s="15" t="s">
        <v>342</v>
      </c>
      <c r="E92" s="3">
        <v>3</v>
      </c>
      <c r="K92" s="89"/>
      <c r="L92" s="89"/>
      <c r="M92" s="89"/>
      <c r="N92" s="89"/>
      <c r="O92" s="89"/>
      <c r="P92" s="89"/>
      <c r="Q92" s="89"/>
      <c r="R92" s="89"/>
      <c r="S92" s="89"/>
      <c r="T92" s="89"/>
      <c r="U92" s="89"/>
      <c r="V92" s="89"/>
      <c r="W92" s="89"/>
      <c r="X92" s="89"/>
      <c r="Y92" s="89"/>
      <c r="Z92" s="89"/>
      <c r="AA92" s="89"/>
      <c r="AB92" s="89"/>
      <c r="AC92" s="89"/>
      <c r="AD92" s="89"/>
      <c r="AE92" s="89"/>
      <c r="AF92" s="89"/>
      <c r="AG92" s="89"/>
      <c r="AH92" s="89"/>
    </row>
    <row r="93" spans="1:53" x14ac:dyDescent="0.15">
      <c r="A93" s="13" t="s">
        <v>360</v>
      </c>
      <c r="B93" s="15" t="s">
        <v>344</v>
      </c>
      <c r="E93" s="89">
        <v>3</v>
      </c>
      <c r="K93" s="89"/>
      <c r="L93" s="89"/>
    </row>
    <row r="94" spans="1:53" x14ac:dyDescent="0.15">
      <c r="A94" s="4" t="s">
        <v>93</v>
      </c>
    </row>
    <row r="95" spans="1:53" x14ac:dyDescent="0.15">
      <c r="A95" s="13" t="s">
        <v>387</v>
      </c>
      <c r="B95" s="68" t="s">
        <v>381</v>
      </c>
      <c r="E95" s="3">
        <v>4</v>
      </c>
    </row>
    <row r="96" spans="1:53" x14ac:dyDescent="0.15">
      <c r="A96" s="13" t="s">
        <v>130</v>
      </c>
      <c r="B96" s="68"/>
      <c r="E96" s="89"/>
    </row>
    <row r="97" spans="1:6" x14ac:dyDescent="0.15">
      <c r="A97" s="13" t="s">
        <v>371</v>
      </c>
      <c r="B97" s="13" t="s">
        <v>299</v>
      </c>
      <c r="E97" s="89">
        <v>2</v>
      </c>
    </row>
    <row r="98" spans="1:6" x14ac:dyDescent="0.15">
      <c r="A98" s="13" t="s">
        <v>375</v>
      </c>
      <c r="B98" s="13" t="s">
        <v>296</v>
      </c>
      <c r="E98" s="89">
        <v>5</v>
      </c>
    </row>
    <row r="99" spans="1:6" x14ac:dyDescent="0.15">
      <c r="A99" s="13" t="s">
        <v>376</v>
      </c>
      <c r="B99" s="13" t="s">
        <v>297</v>
      </c>
      <c r="E99" s="89">
        <v>5</v>
      </c>
    </row>
    <row r="100" spans="1:6" x14ac:dyDescent="0.15">
      <c r="A100" s="3"/>
      <c r="B100" s="3"/>
    </row>
    <row r="101" spans="1:6" ht="19.5" x14ac:dyDescent="0.15">
      <c r="A101" s="80" t="s">
        <v>392</v>
      </c>
      <c r="C101" s="4">
        <f>IF(ZEH等補助金対応システムの見積作成!B37="拾い出し部材はありません(下記部材は拾い出されません)",1,"")</f>
        <v>1</v>
      </c>
      <c r="D101" s="3"/>
    </row>
    <row r="102" spans="1:6" x14ac:dyDescent="0.15">
      <c r="A102" s="4" t="s">
        <v>363</v>
      </c>
      <c r="B102" s="4" t="s">
        <v>363</v>
      </c>
      <c r="C102" s="4" t="str">
        <f>IF(ZEH等補助金対応システムの見積作成!B37="⑨外部発電機用電流センサケーブル(長さと数量)","外部発電機用電流センサケーブル","")</f>
        <v/>
      </c>
      <c r="E102" s="3">
        <f>IFERROR(VLOOKUP(C103,C103:E107,4,FALSE),0)</f>
        <v>0</v>
      </c>
      <c r="F102" s="4">
        <f>IF(C101=1,1,IF(OR(E102=0,E102=F56),1,0))</f>
        <v>1</v>
      </c>
    </row>
    <row r="103" spans="1:6" x14ac:dyDescent="0.15">
      <c r="A103" s="13" t="s">
        <v>354</v>
      </c>
      <c r="B103" s="13" t="s">
        <v>332</v>
      </c>
      <c r="C103" s="4" t="str">
        <f>IF(D50=2,"",VLOOKUP(ZEH等補助金対応システムの見積作成!C38,補助金拾い出し算出シート!A102:B107,2,FALSE))</f>
        <v>KP-CHC-C4VG03N</v>
      </c>
      <c r="D103" s="3"/>
      <c r="E103" s="3">
        <v>3</v>
      </c>
    </row>
    <row r="104" spans="1:6" x14ac:dyDescent="0.15">
      <c r="A104" s="13" t="s">
        <v>355</v>
      </c>
      <c r="B104" s="13" t="s">
        <v>334</v>
      </c>
      <c r="E104" s="3">
        <v>3</v>
      </c>
    </row>
    <row r="105" spans="1:6" x14ac:dyDescent="0.15">
      <c r="A105" s="13" t="s">
        <v>356</v>
      </c>
      <c r="B105" s="13" t="s">
        <v>336</v>
      </c>
      <c r="E105" s="3">
        <v>3</v>
      </c>
    </row>
    <row r="106" spans="1:6" x14ac:dyDescent="0.15">
      <c r="A106" s="13" t="s">
        <v>357</v>
      </c>
      <c r="B106" s="13" t="s">
        <v>338</v>
      </c>
      <c r="C106" s="4" t="str">
        <f>IFERROR(VLOOKUP(C107,A89:B90,2,FALSE),"")</f>
        <v/>
      </c>
      <c r="D106" s="3"/>
      <c r="E106" s="3">
        <v>3</v>
      </c>
    </row>
    <row r="107" spans="1:6" x14ac:dyDescent="0.15">
      <c r="A107" s="13" t="s">
        <v>358</v>
      </c>
      <c r="B107" s="13" t="s">
        <v>340</v>
      </c>
      <c r="C107" s="3"/>
      <c r="D107" s="16"/>
      <c r="E107" s="3">
        <v>3</v>
      </c>
    </row>
    <row r="109" spans="1:6" x14ac:dyDescent="0.15">
      <c r="A109" s="4" t="s">
        <v>603</v>
      </c>
      <c r="C109" s="4">
        <f>IF(ZEH等補助金対応システムの見積作成!B42="拾い出し部材はありません(下記部材は拾い出されません)",1,"")</f>
        <v>1</v>
      </c>
    </row>
    <row r="110" spans="1:6" x14ac:dyDescent="0.15">
      <c r="A110" s="13" t="s">
        <v>93</v>
      </c>
      <c r="B110" s="13" t="s">
        <v>363</v>
      </c>
      <c r="C110" s="4" t="str">
        <f>IF(ZEH等補助金対応システムの見積作成!B42="⑩分岐計測用電流センサ(長さと数量)","分岐計測用電流センサ","")</f>
        <v/>
      </c>
      <c r="E110" s="89">
        <v>0</v>
      </c>
      <c r="F110" s="4">
        <f>IF(C109=1,1,IF(OR(E110=0,E110=F56),1,0))</f>
        <v>1</v>
      </c>
    </row>
    <row r="111" spans="1:6" x14ac:dyDescent="0.15">
      <c r="A111" s="4" t="s">
        <v>377</v>
      </c>
      <c r="B111" s="4" t="s">
        <v>370</v>
      </c>
      <c r="C111" s="4" t="str">
        <f>IF(D50=2,"",VLOOKUP(ZEH等補助金対応システムの見積作成!C43,補助金拾い出し算出シート!A111:B111,2,FALSE))</f>
        <v>KP-CT-T09AC30</v>
      </c>
      <c r="E111" s="89">
        <v>3</v>
      </c>
    </row>
    <row r="113" spans="1:6" x14ac:dyDescent="0.15">
      <c r="A113" s="4" t="s">
        <v>604</v>
      </c>
      <c r="C113" s="4">
        <f>IF(ZEH等補助金対応システムの見積作成!B47="拾い出し部材はありません(下記部材は拾い出されません)",1,"")</f>
        <v>1</v>
      </c>
    </row>
    <row r="114" spans="1:6" x14ac:dyDescent="0.15">
      <c r="A114" s="4" t="s">
        <v>93</v>
      </c>
      <c r="B114" s="4" t="str">
        <f>A114</f>
        <v>なし</v>
      </c>
      <c r="C114" s="4" t="str">
        <f>IF(ZEH等補助金対応システムの見積作成!B47="⑪分岐計測用電流センサケーブル(長さと数量)","分岐計測用電流センサケーブル","")</f>
        <v/>
      </c>
      <c r="E114" s="89">
        <v>0</v>
      </c>
      <c r="F114" s="10">
        <f>IF(C113=1,1,IF(OR(E114=0,E114=F56),1,0))</f>
        <v>1</v>
      </c>
    </row>
    <row r="115" spans="1:6" x14ac:dyDescent="0.15">
      <c r="A115" s="4" t="s">
        <v>349</v>
      </c>
      <c r="B115" s="4" t="s">
        <v>365</v>
      </c>
      <c r="C115" s="4" t="str">
        <f>IF(D50=2,"",VLOOKUP(ZEH等補助金対応システムの見積作成!C48,補助金拾い出し算出シート!A114:B119,2,FALSE))</f>
        <v>KP-CHB-C4VG10N</v>
      </c>
      <c r="E115" s="89">
        <v>3</v>
      </c>
      <c r="F115" s="89"/>
    </row>
    <row r="116" spans="1:6" x14ac:dyDescent="0.15">
      <c r="A116" s="4" t="s">
        <v>350</v>
      </c>
      <c r="B116" s="4" t="s">
        <v>366</v>
      </c>
      <c r="E116" s="89">
        <v>3</v>
      </c>
    </row>
    <row r="117" spans="1:6" x14ac:dyDescent="0.15">
      <c r="A117" s="4" t="s">
        <v>351</v>
      </c>
      <c r="B117" s="4" t="s">
        <v>367</v>
      </c>
      <c r="E117" s="89">
        <v>3</v>
      </c>
    </row>
    <row r="118" spans="1:6" x14ac:dyDescent="0.15">
      <c r="A118" s="4" t="s">
        <v>352</v>
      </c>
      <c r="B118" s="4" t="s">
        <v>368</v>
      </c>
      <c r="E118" s="89">
        <v>3</v>
      </c>
    </row>
    <row r="119" spans="1:6" x14ac:dyDescent="0.15">
      <c r="A119" s="4" t="s">
        <v>353</v>
      </c>
      <c r="B119" s="4" t="s">
        <v>369</v>
      </c>
      <c r="E119" s="89">
        <v>3</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I31"/>
  <sheetViews>
    <sheetView zoomScale="80" zoomScaleNormal="80" workbookViewId="0">
      <selection activeCell="L12" sqref="L12"/>
    </sheetView>
  </sheetViews>
  <sheetFormatPr defaultColWidth="8.875" defaultRowHeight="15.75" x14ac:dyDescent="0.15"/>
  <cols>
    <col min="1" max="1" width="12.5" style="3" bestFit="1" customWidth="1"/>
    <col min="2" max="2" width="19.125" style="3" bestFit="1" customWidth="1"/>
    <col min="3" max="3" width="34.375" style="3" bestFit="1" customWidth="1"/>
    <col min="4" max="4" width="16.75" style="3" bestFit="1" customWidth="1"/>
    <col min="5" max="5" width="21.625" style="3" bestFit="1" customWidth="1"/>
    <col min="6" max="6" width="22.75" style="3" bestFit="1" customWidth="1"/>
    <col min="7" max="7" width="16.5" style="3" customWidth="1"/>
    <col min="8" max="8" width="5.625" style="3" bestFit="1" customWidth="1"/>
    <col min="9" max="9" width="11.75" style="3" bestFit="1" customWidth="1"/>
    <col min="10" max="16384" width="8.875" style="3"/>
  </cols>
  <sheetData>
    <row r="1" spans="1:9" ht="20.25" thickBot="1" x14ac:dyDescent="0.2">
      <c r="B1" s="56"/>
      <c r="C1" s="56"/>
      <c r="D1" s="56"/>
      <c r="E1" s="56"/>
      <c r="F1" s="56"/>
    </row>
    <row r="2" spans="1:9" ht="16.5" thickBot="1" x14ac:dyDescent="0.2">
      <c r="A2" s="57" t="s">
        <v>201</v>
      </c>
      <c r="B2" s="58" t="s">
        <v>164</v>
      </c>
      <c r="C2" s="58" t="s">
        <v>202</v>
      </c>
      <c r="D2" s="58" t="s">
        <v>203</v>
      </c>
      <c r="E2" s="58" t="s">
        <v>204</v>
      </c>
      <c r="F2" s="59" t="s">
        <v>163</v>
      </c>
      <c r="G2" s="60" t="s">
        <v>205</v>
      </c>
    </row>
    <row r="3" spans="1:9" x14ac:dyDescent="0.15">
      <c r="A3" s="262" t="s">
        <v>396</v>
      </c>
      <c r="B3" s="82" t="s">
        <v>397</v>
      </c>
      <c r="C3" s="74" t="s">
        <v>62</v>
      </c>
      <c r="D3" s="83"/>
      <c r="E3" s="83"/>
      <c r="F3" s="85"/>
      <c r="G3" s="86"/>
      <c r="H3" s="78" t="s">
        <v>399</v>
      </c>
      <c r="I3" s="3">
        <v>5</v>
      </c>
    </row>
    <row r="4" spans="1:9" x14ac:dyDescent="0.15">
      <c r="A4" s="217"/>
      <c r="B4" s="263" t="s">
        <v>398</v>
      </c>
      <c r="C4" s="6" t="s">
        <v>180</v>
      </c>
      <c r="D4" s="6"/>
      <c r="E4" s="6"/>
      <c r="F4" s="6"/>
      <c r="G4" s="61"/>
      <c r="H4" s="78" t="s">
        <v>400</v>
      </c>
      <c r="I4" s="3">
        <v>5</v>
      </c>
    </row>
    <row r="5" spans="1:9" x14ac:dyDescent="0.15">
      <c r="A5" s="217"/>
      <c r="B5" s="263"/>
      <c r="C5" s="6" t="s">
        <v>179</v>
      </c>
      <c r="D5" s="6"/>
      <c r="E5" s="6"/>
      <c r="F5" s="6"/>
      <c r="G5" s="61"/>
      <c r="H5" s="78" t="s">
        <v>401</v>
      </c>
      <c r="I5" s="3">
        <v>5</v>
      </c>
    </row>
    <row r="6" spans="1:9" x14ac:dyDescent="0.15">
      <c r="A6" s="196" t="s">
        <v>206</v>
      </c>
      <c r="B6" s="259" t="s">
        <v>207</v>
      </c>
      <c r="C6" s="6" t="s">
        <v>310</v>
      </c>
      <c r="D6" s="6"/>
      <c r="E6" s="6"/>
      <c r="F6" s="6"/>
      <c r="G6" s="81" t="s">
        <v>209</v>
      </c>
      <c r="H6" s="78" t="s">
        <v>421</v>
      </c>
      <c r="I6" s="3">
        <v>2</v>
      </c>
    </row>
    <row r="7" spans="1:9" x14ac:dyDescent="0.15">
      <c r="A7" s="196"/>
      <c r="B7" s="259"/>
      <c r="C7" s="84" t="s">
        <v>310</v>
      </c>
      <c r="D7" s="6"/>
      <c r="E7" s="6" t="s">
        <v>312</v>
      </c>
      <c r="F7" s="5"/>
      <c r="G7" s="61" t="s">
        <v>211</v>
      </c>
      <c r="H7" s="78" t="s">
        <v>395</v>
      </c>
      <c r="I7" s="3">
        <v>14</v>
      </c>
    </row>
    <row r="8" spans="1:9" x14ac:dyDescent="0.15">
      <c r="A8" s="196"/>
      <c r="B8" s="259"/>
      <c r="C8" s="84" t="s">
        <v>310</v>
      </c>
      <c r="D8" s="6"/>
      <c r="E8" s="6" t="s">
        <v>313</v>
      </c>
      <c r="F8" s="5"/>
      <c r="G8" s="61" t="s">
        <v>211</v>
      </c>
      <c r="H8" s="78" t="s">
        <v>316</v>
      </c>
      <c r="I8" s="3">
        <v>14</v>
      </c>
    </row>
    <row r="9" spans="1:9" x14ac:dyDescent="0.15">
      <c r="A9" s="196"/>
      <c r="B9" s="259"/>
      <c r="C9" s="84" t="s">
        <v>310</v>
      </c>
      <c r="D9" s="6"/>
      <c r="E9" s="6"/>
      <c r="F9" s="5" t="s">
        <v>213</v>
      </c>
      <c r="G9" s="61"/>
      <c r="H9" s="78" t="s">
        <v>317</v>
      </c>
    </row>
    <row r="10" spans="1:9" x14ac:dyDescent="0.15">
      <c r="A10" s="196"/>
      <c r="B10" s="259"/>
      <c r="C10" s="6" t="s">
        <v>311</v>
      </c>
      <c r="D10" s="6"/>
      <c r="E10" s="6"/>
      <c r="F10" s="5"/>
      <c r="G10" s="61" t="s">
        <v>209</v>
      </c>
      <c r="H10" s="78" t="s">
        <v>314</v>
      </c>
      <c r="I10" s="3">
        <v>2</v>
      </c>
    </row>
    <row r="11" spans="1:9" x14ac:dyDescent="0.15">
      <c r="A11" s="196"/>
      <c r="B11" s="259"/>
      <c r="C11" s="6" t="s">
        <v>311</v>
      </c>
      <c r="D11" s="6"/>
      <c r="E11" s="6" t="s">
        <v>312</v>
      </c>
      <c r="F11" s="5"/>
      <c r="G11" s="61" t="s">
        <v>211</v>
      </c>
      <c r="H11" s="78" t="s">
        <v>395</v>
      </c>
      <c r="I11" s="3">
        <v>14</v>
      </c>
    </row>
    <row r="12" spans="1:9" x14ac:dyDescent="0.15">
      <c r="A12" s="196"/>
      <c r="B12" s="259"/>
      <c r="C12" s="6" t="s">
        <v>311</v>
      </c>
      <c r="D12" s="6"/>
      <c r="E12" s="6" t="s">
        <v>313</v>
      </c>
      <c r="F12" s="5"/>
      <c r="G12" s="61" t="s">
        <v>211</v>
      </c>
      <c r="H12" s="78" t="s">
        <v>316</v>
      </c>
      <c r="I12" s="3">
        <v>14</v>
      </c>
    </row>
    <row r="13" spans="1:9" x14ac:dyDescent="0.15">
      <c r="A13" s="196"/>
      <c r="B13" s="260"/>
      <c r="C13" s="6" t="s">
        <v>311</v>
      </c>
      <c r="D13" s="6"/>
      <c r="E13" s="6"/>
      <c r="F13" s="5" t="s">
        <v>213</v>
      </c>
      <c r="G13" s="61"/>
      <c r="H13" s="78" t="s">
        <v>317</v>
      </c>
    </row>
    <row r="14" spans="1:9" x14ac:dyDescent="0.15">
      <c r="A14" s="196"/>
      <c r="B14" s="258" t="s">
        <v>215</v>
      </c>
      <c r="C14" s="6" t="s">
        <v>216</v>
      </c>
      <c r="D14" s="6"/>
      <c r="E14" s="6"/>
      <c r="F14" s="5"/>
      <c r="G14" s="61" t="s">
        <v>217</v>
      </c>
      <c r="H14" s="78" t="s">
        <v>394</v>
      </c>
      <c r="I14" s="3">
        <v>6</v>
      </c>
    </row>
    <row r="15" spans="1:9" x14ac:dyDescent="0.15">
      <c r="A15" s="196"/>
      <c r="B15" s="259"/>
      <c r="C15" s="6" t="s">
        <v>216</v>
      </c>
      <c r="D15" s="6" t="s">
        <v>218</v>
      </c>
      <c r="E15" s="6"/>
      <c r="F15" s="5"/>
      <c r="G15" s="61" t="s">
        <v>217</v>
      </c>
      <c r="H15" s="78" t="s">
        <v>319</v>
      </c>
      <c r="I15" s="3">
        <v>6</v>
      </c>
    </row>
    <row r="16" spans="1:9" x14ac:dyDescent="0.15">
      <c r="A16" s="196"/>
      <c r="B16" s="259"/>
      <c r="C16" s="6" t="s">
        <v>216</v>
      </c>
      <c r="D16" s="6" t="s">
        <v>218</v>
      </c>
      <c r="E16" s="6" t="s">
        <v>312</v>
      </c>
      <c r="F16" s="5"/>
      <c r="G16" s="61" t="s">
        <v>219</v>
      </c>
      <c r="H16" s="78" t="s">
        <v>320</v>
      </c>
      <c r="I16" s="3">
        <v>20</v>
      </c>
    </row>
    <row r="17" spans="1:9" x14ac:dyDescent="0.15">
      <c r="A17" s="196"/>
      <c r="B17" s="259"/>
      <c r="C17" s="6" t="s">
        <v>216</v>
      </c>
      <c r="D17" s="6" t="s">
        <v>218</v>
      </c>
      <c r="E17" s="6" t="s">
        <v>313</v>
      </c>
      <c r="F17" s="5"/>
      <c r="G17" s="61" t="s">
        <v>219</v>
      </c>
      <c r="H17" s="78" t="s">
        <v>318</v>
      </c>
      <c r="I17" s="3">
        <v>20</v>
      </c>
    </row>
    <row r="18" spans="1:9" x14ac:dyDescent="0.15">
      <c r="A18" s="196"/>
      <c r="B18" s="260"/>
      <c r="C18" s="6" t="s">
        <v>216</v>
      </c>
      <c r="D18" s="6" t="s">
        <v>218</v>
      </c>
      <c r="E18" s="6"/>
      <c r="F18" s="5" t="s">
        <v>213</v>
      </c>
      <c r="G18" s="61"/>
      <c r="H18" s="78" t="s">
        <v>315</v>
      </c>
    </row>
    <row r="19" spans="1:9" x14ac:dyDescent="0.15">
      <c r="A19" s="256" t="s">
        <v>220</v>
      </c>
      <c r="B19" s="258" t="s">
        <v>207</v>
      </c>
      <c r="C19" s="84" t="s">
        <v>310</v>
      </c>
      <c r="D19" s="6"/>
      <c r="E19" s="6"/>
      <c r="F19" s="5"/>
      <c r="G19" s="61" t="s">
        <v>209</v>
      </c>
      <c r="H19" s="78" t="s">
        <v>314</v>
      </c>
      <c r="I19" s="3">
        <v>2</v>
      </c>
    </row>
    <row r="20" spans="1:9" x14ac:dyDescent="0.15">
      <c r="A20" s="217"/>
      <c r="B20" s="259"/>
      <c r="C20" s="84" t="s">
        <v>310</v>
      </c>
      <c r="D20" s="6"/>
      <c r="E20" s="6" t="s">
        <v>312</v>
      </c>
      <c r="F20" s="5"/>
      <c r="G20" s="61" t="s">
        <v>211</v>
      </c>
      <c r="H20" s="78" t="s">
        <v>395</v>
      </c>
      <c r="I20" s="3">
        <v>14</v>
      </c>
    </row>
    <row r="21" spans="1:9" x14ac:dyDescent="0.15">
      <c r="A21" s="217"/>
      <c r="B21" s="259"/>
      <c r="C21" s="84" t="s">
        <v>310</v>
      </c>
      <c r="D21" s="6"/>
      <c r="E21" s="6" t="s">
        <v>313</v>
      </c>
      <c r="F21" s="5"/>
      <c r="G21" s="61" t="s">
        <v>211</v>
      </c>
      <c r="H21" s="78" t="s">
        <v>316</v>
      </c>
      <c r="I21" s="3">
        <v>14</v>
      </c>
    </row>
    <row r="22" spans="1:9" ht="14.45" customHeight="1" x14ac:dyDescent="0.15">
      <c r="A22" s="217"/>
      <c r="B22" s="259"/>
      <c r="C22" s="84" t="s">
        <v>310</v>
      </c>
      <c r="D22" s="6"/>
      <c r="E22" s="6"/>
      <c r="F22" s="5" t="s">
        <v>213</v>
      </c>
      <c r="G22" s="61"/>
      <c r="H22" s="78" t="s">
        <v>317</v>
      </c>
    </row>
    <row r="23" spans="1:9" ht="14.45" customHeight="1" x14ac:dyDescent="0.15">
      <c r="A23" s="217"/>
      <c r="B23" s="259"/>
      <c r="C23" s="6" t="s">
        <v>311</v>
      </c>
      <c r="D23" s="6"/>
      <c r="E23" s="6"/>
      <c r="F23" s="5"/>
      <c r="G23" s="61" t="s">
        <v>209</v>
      </c>
      <c r="H23" s="78" t="s">
        <v>314</v>
      </c>
      <c r="I23" s="3">
        <v>2</v>
      </c>
    </row>
    <row r="24" spans="1:9" x14ac:dyDescent="0.15">
      <c r="A24" s="217"/>
      <c r="B24" s="259"/>
      <c r="C24" s="6" t="s">
        <v>311</v>
      </c>
      <c r="D24" s="6"/>
      <c r="E24" s="6" t="s">
        <v>312</v>
      </c>
      <c r="F24" s="5"/>
      <c r="G24" s="61" t="s">
        <v>211</v>
      </c>
      <c r="H24" s="78" t="s">
        <v>395</v>
      </c>
      <c r="I24" s="3">
        <v>14</v>
      </c>
    </row>
    <row r="25" spans="1:9" x14ac:dyDescent="0.15">
      <c r="A25" s="217"/>
      <c r="B25" s="259"/>
      <c r="C25" s="6" t="s">
        <v>311</v>
      </c>
      <c r="D25" s="6"/>
      <c r="E25" s="6" t="s">
        <v>313</v>
      </c>
      <c r="F25" s="5"/>
      <c r="G25" s="61" t="s">
        <v>211</v>
      </c>
      <c r="H25" s="78" t="s">
        <v>316</v>
      </c>
      <c r="I25" s="3">
        <v>14</v>
      </c>
    </row>
    <row r="26" spans="1:9" x14ac:dyDescent="0.15">
      <c r="A26" s="217"/>
      <c r="B26" s="260"/>
      <c r="C26" s="6" t="s">
        <v>311</v>
      </c>
      <c r="D26" s="6"/>
      <c r="E26" s="6"/>
      <c r="F26" s="5" t="s">
        <v>213</v>
      </c>
      <c r="G26" s="61"/>
      <c r="H26" s="78" t="s">
        <v>317</v>
      </c>
    </row>
    <row r="27" spans="1:9" x14ac:dyDescent="0.15">
      <c r="A27" s="217"/>
      <c r="B27" s="258" t="s">
        <v>215</v>
      </c>
      <c r="C27" s="6" t="s">
        <v>216</v>
      </c>
      <c r="D27" s="6" t="s">
        <v>218</v>
      </c>
      <c r="E27" s="6"/>
      <c r="F27" s="5"/>
      <c r="G27" s="61" t="s">
        <v>217</v>
      </c>
      <c r="H27" s="78" t="s">
        <v>319</v>
      </c>
      <c r="I27" s="3">
        <v>6</v>
      </c>
    </row>
    <row r="28" spans="1:9" x14ac:dyDescent="0.15">
      <c r="A28" s="217"/>
      <c r="B28" s="259"/>
      <c r="C28" s="6" t="s">
        <v>216</v>
      </c>
      <c r="D28" s="6" t="s">
        <v>218</v>
      </c>
      <c r="E28" s="6" t="s">
        <v>312</v>
      </c>
      <c r="F28" s="5"/>
      <c r="G28" s="61" t="s">
        <v>219</v>
      </c>
      <c r="H28" s="78" t="s">
        <v>320</v>
      </c>
      <c r="I28" s="3">
        <v>6</v>
      </c>
    </row>
    <row r="29" spans="1:9" x14ac:dyDescent="0.15">
      <c r="A29" s="217"/>
      <c r="B29" s="259"/>
      <c r="C29" s="6" t="s">
        <v>216</v>
      </c>
      <c r="D29" s="6" t="s">
        <v>218</v>
      </c>
      <c r="E29" s="6" t="s">
        <v>313</v>
      </c>
      <c r="F29" s="5"/>
      <c r="G29" s="61" t="s">
        <v>219</v>
      </c>
      <c r="H29" s="78" t="s">
        <v>318</v>
      </c>
      <c r="I29" s="3">
        <v>20</v>
      </c>
    </row>
    <row r="30" spans="1:9" ht="16.5" thickBot="1" x14ac:dyDescent="0.2">
      <c r="A30" s="257"/>
      <c r="B30" s="261"/>
      <c r="C30" s="45" t="s">
        <v>216</v>
      </c>
      <c r="D30" s="45" t="s">
        <v>218</v>
      </c>
      <c r="E30" s="45"/>
      <c r="F30" s="48" t="s">
        <v>213</v>
      </c>
      <c r="G30" s="62"/>
      <c r="H30" s="78" t="s">
        <v>315</v>
      </c>
      <c r="I30" s="3">
        <v>20</v>
      </c>
    </row>
    <row r="31" spans="1:9" x14ac:dyDescent="0.15">
      <c r="D31" s="3">
        <f>補助金拾い出し算出シート!D23</f>
        <v>1</v>
      </c>
      <c r="E31" s="3">
        <f>補助金拾い出し算出シート!D38</f>
        <v>4</v>
      </c>
      <c r="F31" s="3">
        <f>補助金拾い出し算出シート!D50</f>
        <v>1</v>
      </c>
      <c r="G31" s="3" t="str">
        <f>D31&amp;E31&amp;F31</f>
        <v>141</v>
      </c>
      <c r="I31" s="3">
        <f>IFERROR(VLOOKUP(G31,H3:I30,2,FALSE),"")</f>
        <v>14</v>
      </c>
    </row>
  </sheetData>
  <mergeCells count="8">
    <mergeCell ref="A19:A30"/>
    <mergeCell ref="B19:B26"/>
    <mergeCell ref="B27:B30"/>
    <mergeCell ref="A3:A5"/>
    <mergeCell ref="B4:B5"/>
    <mergeCell ref="A6:A18"/>
    <mergeCell ref="B6:B13"/>
    <mergeCell ref="B14:B18"/>
  </mergeCells>
  <phoneticPr fontId="1"/>
  <pageMargins left="0.7" right="0.7" top="0.75" bottom="0.75" header="0.3" footer="0.3"/>
  <pageSetup paperSize="9" scale="9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G23"/>
  <sheetViews>
    <sheetView showGridLines="0" showRowColHeaders="0" zoomScale="80" zoomScaleNormal="80" workbookViewId="0">
      <selection activeCell="H22" sqref="H22"/>
    </sheetView>
  </sheetViews>
  <sheetFormatPr defaultColWidth="8.875" defaultRowHeight="15.75" x14ac:dyDescent="0.15"/>
  <cols>
    <col min="1" max="1" width="12.5" style="3" bestFit="1" customWidth="1"/>
    <col min="2" max="2" width="19.125" style="3" bestFit="1" customWidth="1"/>
    <col min="3" max="3" width="34.375" style="3" bestFit="1" customWidth="1"/>
    <col min="4" max="4" width="16.75" style="3" bestFit="1" customWidth="1"/>
    <col min="5" max="5" width="21.625" style="3" bestFit="1" customWidth="1"/>
    <col min="6" max="6" width="25" style="3" bestFit="1" customWidth="1"/>
    <col min="7" max="7" width="16.5" style="3" customWidth="1"/>
    <col min="8" max="8" width="25.5" style="3" customWidth="1"/>
    <col min="9" max="16384" width="8.875" style="3"/>
  </cols>
  <sheetData>
    <row r="1" spans="1:7" ht="20.25" thickBot="1" x14ac:dyDescent="0.2">
      <c r="B1" s="56"/>
      <c r="C1" s="56"/>
      <c r="D1" s="56"/>
      <c r="E1" s="56"/>
      <c r="F1" s="56"/>
    </row>
    <row r="2" spans="1:7" ht="16.5" thickBot="1" x14ac:dyDescent="0.2">
      <c r="A2" s="57" t="s">
        <v>201</v>
      </c>
      <c r="B2" s="58" t="s">
        <v>164</v>
      </c>
      <c r="C2" s="58" t="s">
        <v>202</v>
      </c>
      <c r="D2" s="58" t="s">
        <v>203</v>
      </c>
      <c r="E2" s="58" t="s">
        <v>204</v>
      </c>
      <c r="F2" s="59" t="s">
        <v>163</v>
      </c>
      <c r="G2" s="60" t="s">
        <v>205</v>
      </c>
    </row>
    <row r="3" spans="1:7" x14ac:dyDescent="0.15">
      <c r="A3" s="262" t="s">
        <v>455</v>
      </c>
      <c r="B3" s="82" t="s">
        <v>397</v>
      </c>
      <c r="C3" s="74" t="s">
        <v>62</v>
      </c>
      <c r="D3" s="92"/>
      <c r="E3" s="92"/>
      <c r="F3" s="85"/>
      <c r="G3" s="86" t="s">
        <v>456</v>
      </c>
    </row>
    <row r="4" spans="1:7" x14ac:dyDescent="0.15">
      <c r="A4" s="217"/>
      <c r="B4" s="91" t="s">
        <v>398</v>
      </c>
      <c r="C4" s="94" t="s">
        <v>179</v>
      </c>
      <c r="D4" s="94"/>
      <c r="E4" s="94"/>
      <c r="F4" s="94"/>
      <c r="G4" s="61" t="s">
        <v>457</v>
      </c>
    </row>
    <row r="5" spans="1:7" x14ac:dyDescent="0.15">
      <c r="A5" s="217"/>
      <c r="B5" s="263" t="s">
        <v>207</v>
      </c>
      <c r="C5" s="93" t="s">
        <v>208</v>
      </c>
      <c r="D5" s="93"/>
      <c r="E5" s="94"/>
      <c r="F5" s="94"/>
      <c r="G5" s="61" t="s">
        <v>209</v>
      </c>
    </row>
    <row r="6" spans="1:7" x14ac:dyDescent="0.15">
      <c r="A6" s="217"/>
      <c r="B6" s="263"/>
      <c r="C6" s="94" t="s">
        <v>208</v>
      </c>
      <c r="D6" s="94"/>
      <c r="E6" s="94" t="s">
        <v>210</v>
      </c>
      <c r="F6" s="94"/>
      <c r="G6" s="61" t="s">
        <v>211</v>
      </c>
    </row>
    <row r="7" spans="1:7" x14ac:dyDescent="0.15">
      <c r="A7" s="217"/>
      <c r="B7" s="263"/>
      <c r="C7" s="94" t="s">
        <v>208</v>
      </c>
      <c r="D7" s="94"/>
      <c r="E7" s="94" t="s">
        <v>212</v>
      </c>
      <c r="F7" s="5"/>
      <c r="G7" s="61" t="s">
        <v>211</v>
      </c>
    </row>
    <row r="8" spans="1:7" x14ac:dyDescent="0.15">
      <c r="A8" s="217"/>
      <c r="B8" s="263"/>
      <c r="C8" s="94" t="s">
        <v>208</v>
      </c>
      <c r="D8" s="94"/>
      <c r="E8" s="94"/>
      <c r="F8" s="5" t="s">
        <v>238</v>
      </c>
      <c r="G8" s="61"/>
    </row>
    <row r="9" spans="1:7" x14ac:dyDescent="0.15">
      <c r="A9" s="217"/>
      <c r="B9" s="263"/>
      <c r="C9" s="94" t="s">
        <v>214</v>
      </c>
      <c r="D9" s="94"/>
      <c r="E9" s="94"/>
      <c r="F9" s="5"/>
      <c r="G9" s="61" t="s">
        <v>209</v>
      </c>
    </row>
    <row r="10" spans="1:7" x14ac:dyDescent="0.15">
      <c r="A10" s="217"/>
      <c r="B10" s="263"/>
      <c r="C10" s="94" t="s">
        <v>214</v>
      </c>
      <c r="D10" s="94"/>
      <c r="E10" s="94" t="s">
        <v>210</v>
      </c>
      <c r="F10" s="5"/>
      <c r="G10" s="61" t="s">
        <v>211</v>
      </c>
    </row>
    <row r="11" spans="1:7" x14ac:dyDescent="0.15">
      <c r="A11" s="217"/>
      <c r="B11" s="263"/>
      <c r="C11" s="94" t="s">
        <v>214</v>
      </c>
      <c r="D11" s="94"/>
      <c r="E11" s="94" t="s">
        <v>212</v>
      </c>
      <c r="F11" s="5"/>
      <c r="G11" s="61" t="s">
        <v>211</v>
      </c>
    </row>
    <row r="12" spans="1:7" x14ac:dyDescent="0.15">
      <c r="A12" s="217"/>
      <c r="B12" s="263"/>
      <c r="C12" s="94" t="s">
        <v>214</v>
      </c>
      <c r="D12" s="94"/>
      <c r="E12" s="94"/>
      <c r="F12" s="5" t="s">
        <v>238</v>
      </c>
      <c r="G12" s="61"/>
    </row>
    <row r="13" spans="1:7" x14ac:dyDescent="0.15">
      <c r="A13" s="217"/>
      <c r="B13" s="263" t="s">
        <v>449</v>
      </c>
      <c r="C13" s="94" t="s">
        <v>216</v>
      </c>
      <c r="D13" s="94"/>
      <c r="E13" s="94"/>
      <c r="F13" s="5"/>
      <c r="G13" s="61" t="s">
        <v>217</v>
      </c>
    </row>
    <row r="14" spans="1:7" x14ac:dyDescent="0.15">
      <c r="A14" s="217"/>
      <c r="B14" s="263"/>
      <c r="C14" s="94" t="s">
        <v>216</v>
      </c>
      <c r="D14" s="94" t="s">
        <v>218</v>
      </c>
      <c r="E14" s="94" t="s">
        <v>210</v>
      </c>
      <c r="F14" s="5"/>
      <c r="G14" s="61" t="s">
        <v>219</v>
      </c>
    </row>
    <row r="15" spans="1:7" x14ac:dyDescent="0.15">
      <c r="A15" s="217"/>
      <c r="B15" s="263"/>
      <c r="C15" s="94" t="s">
        <v>216</v>
      </c>
      <c r="D15" s="94" t="s">
        <v>218</v>
      </c>
      <c r="E15" s="94" t="s">
        <v>212</v>
      </c>
      <c r="F15" s="5"/>
      <c r="G15" s="61" t="s">
        <v>219</v>
      </c>
    </row>
    <row r="16" spans="1:7" ht="16.5" thickBot="1" x14ac:dyDescent="0.2">
      <c r="A16" s="257"/>
      <c r="B16" s="264"/>
      <c r="C16" s="45" t="s">
        <v>216</v>
      </c>
      <c r="D16" s="45" t="s">
        <v>218</v>
      </c>
      <c r="E16" s="45"/>
      <c r="F16" s="48" t="s">
        <v>238</v>
      </c>
      <c r="G16" s="62"/>
    </row>
    <row r="22" ht="14.45" customHeight="1" x14ac:dyDescent="0.15"/>
    <row r="23" ht="14.45" customHeight="1" x14ac:dyDescent="0.15"/>
  </sheetData>
  <mergeCells count="3">
    <mergeCell ref="A3:A16"/>
    <mergeCell ref="B5:B12"/>
    <mergeCell ref="B13:B16"/>
  </mergeCells>
  <phoneticPr fontId="1"/>
  <pageMargins left="0.7" right="0.7" top="0.75" bottom="0.75" header="0.3" footer="0.3"/>
  <pageSetup paperSize="9" scale="9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4"/>
  <sheetViews>
    <sheetView workbookViewId="0">
      <selection activeCell="B15" sqref="B15"/>
    </sheetView>
  </sheetViews>
  <sheetFormatPr defaultRowHeight="13.5" x14ac:dyDescent="0.15"/>
  <cols>
    <col min="1" max="1" width="10.25" style="52" bestFit="1" customWidth="1"/>
    <col min="2" max="2" width="72.5" style="52" bestFit="1" customWidth="1"/>
  </cols>
  <sheetData>
    <row r="1" spans="1:2" x14ac:dyDescent="0.15">
      <c r="A1" s="51" t="s">
        <v>171</v>
      </c>
      <c r="B1" s="51" t="s">
        <v>177</v>
      </c>
    </row>
    <row r="2" spans="1:2" x14ac:dyDescent="0.15">
      <c r="A2" s="52" t="s">
        <v>172</v>
      </c>
      <c r="B2" s="52" t="s">
        <v>173</v>
      </c>
    </row>
    <row r="3" spans="1:2" x14ac:dyDescent="0.15">
      <c r="B3" s="52" t="s">
        <v>174</v>
      </c>
    </row>
    <row r="4" spans="1:2" x14ac:dyDescent="0.15">
      <c r="B4" s="52" t="s">
        <v>175</v>
      </c>
    </row>
    <row r="5" spans="1:2" x14ac:dyDescent="0.15">
      <c r="B5" s="52" t="s">
        <v>176</v>
      </c>
    </row>
    <row r="7" spans="1:2" x14ac:dyDescent="0.15">
      <c r="A7" s="52" t="s">
        <v>184</v>
      </c>
      <c r="B7" s="52" t="s">
        <v>185</v>
      </c>
    </row>
    <row r="8" spans="1:2" x14ac:dyDescent="0.15">
      <c r="B8" s="52" t="s">
        <v>186</v>
      </c>
    </row>
    <row r="10" spans="1:2" x14ac:dyDescent="0.15">
      <c r="A10" s="52" t="s">
        <v>570</v>
      </c>
      <c r="B10" s="52" t="s">
        <v>571</v>
      </c>
    </row>
    <row r="11" spans="1:2" x14ac:dyDescent="0.15">
      <c r="B11" s="52" t="s">
        <v>572</v>
      </c>
    </row>
    <row r="13" spans="1:2" x14ac:dyDescent="0.15">
      <c r="A13" s="52" t="s">
        <v>661</v>
      </c>
      <c r="B13" s="52" t="s">
        <v>662</v>
      </c>
    </row>
    <row r="14" spans="1:2" ht="27" x14ac:dyDescent="0.15">
      <c r="A14" s="52" t="s">
        <v>689</v>
      </c>
      <c r="B14" s="166" t="s">
        <v>690</v>
      </c>
    </row>
  </sheetData>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D37"/>
  <sheetViews>
    <sheetView showGridLines="0" showRowColHeaders="0" topLeftCell="A7" workbookViewId="0">
      <selection activeCell="E8" sqref="E8"/>
    </sheetView>
  </sheetViews>
  <sheetFormatPr defaultColWidth="8.875" defaultRowHeight="15.75" x14ac:dyDescent="0.15"/>
  <cols>
    <col min="1" max="1" width="25.125" style="3" bestFit="1" customWidth="1"/>
    <col min="2" max="2" width="19" style="3" bestFit="1" customWidth="1"/>
    <col min="3" max="3" width="49.125" style="3" bestFit="1" customWidth="1"/>
    <col min="4" max="4" width="84.25" style="3" bestFit="1" customWidth="1"/>
    <col min="5" max="5" width="21.625" style="3" customWidth="1"/>
    <col min="6" max="6" width="39.125" style="3" bestFit="1" customWidth="1"/>
    <col min="7" max="7" width="19" style="3" bestFit="1" customWidth="1"/>
    <col min="8" max="8" width="47.25" style="3" bestFit="1" customWidth="1"/>
    <col min="9" max="16384" width="8.875" style="3"/>
  </cols>
  <sheetData>
    <row r="1" spans="1:4" ht="19.5" x14ac:dyDescent="0.15">
      <c r="A1" s="263" t="s">
        <v>308</v>
      </c>
      <c r="B1" s="199" t="s">
        <v>415</v>
      </c>
      <c r="C1" s="199"/>
      <c r="D1" s="199"/>
    </row>
    <row r="2" spans="1:4" x14ac:dyDescent="0.15">
      <c r="A2" s="263"/>
      <c r="B2" s="87" t="s">
        <v>418</v>
      </c>
      <c r="C2" s="87" t="s">
        <v>43</v>
      </c>
      <c r="D2" s="87" t="s">
        <v>422</v>
      </c>
    </row>
    <row r="3" spans="1:4" x14ac:dyDescent="0.15">
      <c r="A3" s="263" t="s">
        <v>412</v>
      </c>
      <c r="B3" s="87" t="s">
        <v>402</v>
      </c>
      <c r="C3" s="87" t="s">
        <v>229</v>
      </c>
      <c r="D3" s="12" t="s">
        <v>423</v>
      </c>
    </row>
    <row r="4" spans="1:4" x14ac:dyDescent="0.15">
      <c r="A4" s="263"/>
      <c r="B4" s="87" t="s">
        <v>403</v>
      </c>
      <c r="C4" s="87" t="s">
        <v>230</v>
      </c>
      <c r="D4" s="12" t="s">
        <v>424</v>
      </c>
    </row>
    <row r="5" spans="1:4" x14ac:dyDescent="0.15">
      <c r="A5" s="263"/>
      <c r="B5" s="87" t="s">
        <v>404</v>
      </c>
      <c r="C5" s="87" t="s">
        <v>232</v>
      </c>
      <c r="D5" s="12" t="s">
        <v>425</v>
      </c>
    </row>
    <row r="6" spans="1:4" x14ac:dyDescent="0.15">
      <c r="A6" s="263" t="s">
        <v>413</v>
      </c>
      <c r="B6" s="87" t="s">
        <v>405</v>
      </c>
      <c r="C6" s="87" t="s">
        <v>235</v>
      </c>
      <c r="D6" s="12" t="s">
        <v>425</v>
      </c>
    </row>
    <row r="7" spans="1:4" x14ac:dyDescent="0.15">
      <c r="A7" s="263"/>
      <c r="B7" s="87" t="s">
        <v>406</v>
      </c>
      <c r="C7" s="87" t="s">
        <v>236</v>
      </c>
      <c r="D7" s="12" t="s">
        <v>425</v>
      </c>
    </row>
    <row r="8" spans="1:4" x14ac:dyDescent="0.15">
      <c r="A8" s="263"/>
      <c r="B8" s="87" t="s">
        <v>407</v>
      </c>
      <c r="C8" s="87" t="s">
        <v>237</v>
      </c>
      <c r="D8" s="12" t="s">
        <v>425</v>
      </c>
    </row>
    <row r="9" spans="1:4" x14ac:dyDescent="0.15">
      <c r="A9" s="263" t="s">
        <v>414</v>
      </c>
      <c r="B9" s="87" t="s">
        <v>289</v>
      </c>
      <c r="C9" s="87" t="s">
        <v>300</v>
      </c>
      <c r="D9" s="12" t="s">
        <v>420</v>
      </c>
    </row>
    <row r="10" spans="1:4" x14ac:dyDescent="0.15">
      <c r="A10" s="263"/>
      <c r="B10" s="87" t="s">
        <v>291</v>
      </c>
      <c r="C10" s="87" t="s">
        <v>301</v>
      </c>
      <c r="D10" s="12" t="s">
        <v>420</v>
      </c>
    </row>
    <row r="11" spans="1:4" x14ac:dyDescent="0.15">
      <c r="A11" s="263"/>
      <c r="B11" s="87" t="s">
        <v>293</v>
      </c>
      <c r="C11" s="87" t="s">
        <v>302</v>
      </c>
      <c r="D11" s="12" t="s">
        <v>420</v>
      </c>
    </row>
    <row r="12" spans="1:4" x14ac:dyDescent="0.15">
      <c r="A12" s="263"/>
      <c r="B12" s="87" t="s">
        <v>295</v>
      </c>
      <c r="C12" s="87" t="s">
        <v>303</v>
      </c>
      <c r="D12" s="12" t="s">
        <v>419</v>
      </c>
    </row>
    <row r="13" spans="1:4" x14ac:dyDescent="0.15">
      <c r="A13" s="263"/>
      <c r="B13" s="87" t="s">
        <v>297</v>
      </c>
      <c r="C13" s="87" t="s">
        <v>304</v>
      </c>
      <c r="D13" s="12" t="s">
        <v>419</v>
      </c>
    </row>
    <row r="14" spans="1:4" x14ac:dyDescent="0.15">
      <c r="A14" s="263"/>
      <c r="B14" s="87" t="s">
        <v>298</v>
      </c>
      <c r="C14" s="87" t="s">
        <v>305</v>
      </c>
      <c r="D14" s="12" t="s">
        <v>524</v>
      </c>
    </row>
    <row r="16" spans="1:4" ht="19.5" x14ac:dyDescent="0.15">
      <c r="A16" s="263" t="s">
        <v>308</v>
      </c>
      <c r="B16" s="265" t="s">
        <v>416</v>
      </c>
      <c r="C16" s="266"/>
      <c r="D16" s="267"/>
    </row>
    <row r="17" spans="1:4" x14ac:dyDescent="0.15">
      <c r="A17" s="263"/>
      <c r="B17" s="87" t="s">
        <v>418</v>
      </c>
      <c r="C17" s="87" t="s">
        <v>43</v>
      </c>
      <c r="D17" s="88" t="s">
        <v>52</v>
      </c>
    </row>
    <row r="18" spans="1:4" x14ac:dyDescent="0.15">
      <c r="A18" s="87" t="s">
        <v>412</v>
      </c>
      <c r="B18" s="87" t="s">
        <v>536</v>
      </c>
      <c r="C18" s="87" t="s">
        <v>388</v>
      </c>
      <c r="D18" s="268" t="s">
        <v>525</v>
      </c>
    </row>
    <row r="19" spans="1:4" x14ac:dyDescent="0.15">
      <c r="A19" s="87" t="s">
        <v>413</v>
      </c>
      <c r="B19" s="87" t="s">
        <v>538</v>
      </c>
      <c r="C19" s="87" t="s">
        <v>387</v>
      </c>
      <c r="D19" s="269"/>
    </row>
    <row r="20" spans="1:4" x14ac:dyDescent="0.15">
      <c r="A20" s="258" t="s">
        <v>414</v>
      </c>
      <c r="B20" s="87" t="s">
        <v>408</v>
      </c>
      <c r="C20" s="87" t="s">
        <v>385</v>
      </c>
      <c r="D20" s="269"/>
    </row>
    <row r="21" spans="1:4" x14ac:dyDescent="0.15">
      <c r="A21" s="260"/>
      <c r="B21" s="87" t="s">
        <v>409</v>
      </c>
      <c r="C21" s="87" t="s">
        <v>386</v>
      </c>
      <c r="D21" s="270"/>
    </row>
    <row r="23" spans="1:4" ht="19.5" x14ac:dyDescent="0.15">
      <c r="A23" s="263" t="s">
        <v>308</v>
      </c>
      <c r="B23" s="265" t="s">
        <v>417</v>
      </c>
      <c r="C23" s="266"/>
      <c r="D23" s="267"/>
    </row>
    <row r="24" spans="1:4" x14ac:dyDescent="0.15">
      <c r="A24" s="263"/>
      <c r="B24" s="87" t="s">
        <v>418</v>
      </c>
      <c r="C24" s="87" t="s">
        <v>43</v>
      </c>
      <c r="D24" s="88" t="s">
        <v>52</v>
      </c>
    </row>
    <row r="25" spans="1:4" x14ac:dyDescent="0.15">
      <c r="A25" s="263" t="s">
        <v>412</v>
      </c>
      <c r="B25" s="87" t="s">
        <v>342</v>
      </c>
      <c r="C25" s="87" t="s">
        <v>359</v>
      </c>
      <c r="D25" s="268" t="s">
        <v>523</v>
      </c>
    </row>
    <row r="26" spans="1:4" x14ac:dyDescent="0.15">
      <c r="A26" s="263"/>
      <c r="B26" s="87" t="s">
        <v>530</v>
      </c>
      <c r="C26" s="87" t="s">
        <v>360</v>
      </c>
      <c r="D26" s="269"/>
    </row>
    <row r="27" spans="1:4" x14ac:dyDescent="0.15">
      <c r="A27" s="263"/>
      <c r="B27" s="87" t="s">
        <v>370</v>
      </c>
      <c r="C27" s="87" t="s">
        <v>362</v>
      </c>
      <c r="D27" s="269"/>
    </row>
    <row r="28" spans="1:4" x14ac:dyDescent="0.15">
      <c r="A28" s="263" t="s">
        <v>413</v>
      </c>
      <c r="B28" s="87" t="s">
        <v>532</v>
      </c>
      <c r="C28" s="87" t="s">
        <v>354</v>
      </c>
      <c r="D28" s="269"/>
    </row>
    <row r="29" spans="1:4" x14ac:dyDescent="0.15">
      <c r="A29" s="263"/>
      <c r="B29" s="87" t="s">
        <v>334</v>
      </c>
      <c r="C29" s="87" t="s">
        <v>355</v>
      </c>
      <c r="D29" s="269"/>
    </row>
    <row r="30" spans="1:4" x14ac:dyDescent="0.15">
      <c r="A30" s="263"/>
      <c r="B30" s="87" t="s">
        <v>336</v>
      </c>
      <c r="C30" s="87" t="s">
        <v>356</v>
      </c>
      <c r="D30" s="269"/>
    </row>
    <row r="31" spans="1:4" x14ac:dyDescent="0.15">
      <c r="A31" s="263"/>
      <c r="B31" s="87" t="s">
        <v>338</v>
      </c>
      <c r="C31" s="87" t="s">
        <v>357</v>
      </c>
      <c r="D31" s="269"/>
    </row>
    <row r="32" spans="1:4" x14ac:dyDescent="0.15">
      <c r="A32" s="263"/>
      <c r="B32" s="87" t="s">
        <v>340</v>
      </c>
      <c r="C32" s="87" t="s">
        <v>358</v>
      </c>
      <c r="D32" s="269"/>
    </row>
    <row r="33" spans="1:4" x14ac:dyDescent="0.15">
      <c r="A33" s="263"/>
      <c r="B33" s="87" t="s">
        <v>365</v>
      </c>
      <c r="C33" s="87" t="s">
        <v>349</v>
      </c>
      <c r="D33" s="269"/>
    </row>
    <row r="34" spans="1:4" x14ac:dyDescent="0.15">
      <c r="A34" s="263"/>
      <c r="B34" s="87" t="s">
        <v>366</v>
      </c>
      <c r="C34" s="87" t="s">
        <v>350</v>
      </c>
      <c r="D34" s="269"/>
    </row>
    <row r="35" spans="1:4" x14ac:dyDescent="0.15">
      <c r="A35" s="263"/>
      <c r="B35" s="87" t="s">
        <v>367</v>
      </c>
      <c r="C35" s="87" t="s">
        <v>351</v>
      </c>
      <c r="D35" s="269"/>
    </row>
    <row r="36" spans="1:4" x14ac:dyDescent="0.15">
      <c r="A36" s="263"/>
      <c r="B36" s="87" t="s">
        <v>368</v>
      </c>
      <c r="C36" s="87" t="s">
        <v>352</v>
      </c>
      <c r="D36" s="269"/>
    </row>
    <row r="37" spans="1:4" x14ac:dyDescent="0.15">
      <c r="A37" s="263"/>
      <c r="B37" s="87" t="s">
        <v>369</v>
      </c>
      <c r="C37" s="87" t="s">
        <v>353</v>
      </c>
      <c r="D37" s="270"/>
    </row>
  </sheetData>
  <mergeCells count="14">
    <mergeCell ref="A28:A37"/>
    <mergeCell ref="A1:A2"/>
    <mergeCell ref="A16:A17"/>
    <mergeCell ref="A23:A24"/>
    <mergeCell ref="B16:D16"/>
    <mergeCell ref="B23:D23"/>
    <mergeCell ref="B1:D1"/>
    <mergeCell ref="A3:A5"/>
    <mergeCell ref="A6:A8"/>
    <mergeCell ref="A9:A14"/>
    <mergeCell ref="A25:A27"/>
    <mergeCell ref="A20:A21"/>
    <mergeCell ref="D18:D21"/>
    <mergeCell ref="D25:D37"/>
  </mergeCells>
  <phoneticPr fontId="1"/>
  <pageMargins left="0.7" right="0.7" top="0.75" bottom="0.75" header="0.3" footer="0.3"/>
  <pageSetup paperSize="9" scale="7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S41"/>
  <sheetViews>
    <sheetView topLeftCell="A31" workbookViewId="0">
      <selection activeCell="M7" sqref="M7:N7"/>
    </sheetView>
  </sheetViews>
  <sheetFormatPr defaultColWidth="8.875" defaultRowHeight="15.75" x14ac:dyDescent="0.15"/>
  <cols>
    <col min="1" max="3" width="3.5" style="114" bestFit="1" customWidth="1"/>
    <col min="4" max="4" width="5.5" style="114" bestFit="1" customWidth="1"/>
    <col min="5" max="6" width="6.5" style="114" customWidth="1"/>
    <col min="7" max="7" width="36.75" style="114" customWidth="1"/>
    <col min="8" max="8" width="9.75" style="114" customWidth="1"/>
    <col min="9" max="9" width="9.5" style="114" customWidth="1"/>
    <col min="10" max="10" width="9.75" style="114" customWidth="1"/>
    <col min="11" max="12" width="10" style="114" customWidth="1"/>
    <col min="13" max="13" width="3.75" style="114" customWidth="1"/>
    <col min="14" max="14" width="4.25" style="124" customWidth="1"/>
    <col min="15" max="16384" width="8.875" style="114"/>
  </cols>
  <sheetData>
    <row r="1" spans="1:19" ht="27" customHeight="1" thickBot="1" x14ac:dyDescent="0.35">
      <c r="A1" s="273" t="s">
        <v>547</v>
      </c>
      <c r="B1" s="273"/>
      <c r="C1" s="273"/>
      <c r="D1" s="273"/>
      <c r="E1" s="273"/>
      <c r="F1" s="273"/>
      <c r="G1" s="273"/>
      <c r="H1" s="273"/>
      <c r="I1" s="273"/>
      <c r="J1" s="273"/>
      <c r="K1" s="273"/>
      <c r="L1" s="273"/>
      <c r="M1" s="273"/>
      <c r="N1" s="273"/>
    </row>
    <row r="2" spans="1:19" ht="26.45" customHeight="1" x14ac:dyDescent="0.3">
      <c r="A2" s="115" t="s">
        <v>467</v>
      </c>
      <c r="B2" s="116" t="s">
        <v>526</v>
      </c>
      <c r="C2" s="116" t="s">
        <v>473</v>
      </c>
      <c r="D2" s="274" t="s">
        <v>479</v>
      </c>
      <c r="E2" s="274"/>
      <c r="F2" s="274"/>
      <c r="G2" s="274"/>
      <c r="H2" s="274"/>
      <c r="I2" s="274"/>
      <c r="J2" s="274"/>
      <c r="K2" s="274"/>
      <c r="L2" s="274"/>
      <c r="M2" s="274"/>
      <c r="N2" s="275"/>
    </row>
    <row r="3" spans="1:19" ht="15" customHeight="1" x14ac:dyDescent="0.15">
      <c r="A3" s="276" t="s">
        <v>520</v>
      </c>
      <c r="B3" s="277" t="s">
        <v>518</v>
      </c>
      <c r="C3" s="277" t="s">
        <v>487</v>
      </c>
      <c r="D3" s="271" t="s">
        <v>43</v>
      </c>
      <c r="E3" s="271"/>
      <c r="F3" s="271"/>
      <c r="G3" s="271"/>
      <c r="H3" s="271" t="s">
        <v>418</v>
      </c>
      <c r="I3" s="271"/>
      <c r="J3" s="271" t="s">
        <v>465</v>
      </c>
      <c r="K3" s="271"/>
      <c r="L3" s="117" t="s">
        <v>8</v>
      </c>
      <c r="M3" s="271" t="s">
        <v>55</v>
      </c>
      <c r="N3" s="272"/>
    </row>
    <row r="4" spans="1:19" x14ac:dyDescent="0.15">
      <c r="A4" s="276"/>
      <c r="B4" s="277"/>
      <c r="C4" s="277"/>
      <c r="D4" s="117">
        <v>1</v>
      </c>
      <c r="E4" s="271" t="s">
        <v>203</v>
      </c>
      <c r="F4" s="271"/>
      <c r="G4" s="271"/>
      <c r="H4" s="271" t="s">
        <v>218</v>
      </c>
      <c r="I4" s="271"/>
      <c r="J4" s="271"/>
      <c r="K4" s="271"/>
      <c r="L4" s="117">
        <v>1</v>
      </c>
      <c r="M4" s="271" t="s">
        <v>59</v>
      </c>
      <c r="N4" s="272"/>
    </row>
    <row r="5" spans="1:19" x14ac:dyDescent="0.15">
      <c r="A5" s="276"/>
      <c r="B5" s="277"/>
      <c r="C5" s="277"/>
      <c r="D5" s="117">
        <v>2</v>
      </c>
      <c r="E5" s="271" t="s">
        <v>528</v>
      </c>
      <c r="F5" s="271"/>
      <c r="G5" s="271"/>
      <c r="H5" s="271" t="s">
        <v>345</v>
      </c>
      <c r="I5" s="271"/>
      <c r="J5" s="271"/>
      <c r="K5" s="271"/>
      <c r="L5" s="117">
        <v>1</v>
      </c>
      <c r="M5" s="271" t="s">
        <v>56</v>
      </c>
      <c r="N5" s="272"/>
    </row>
    <row r="6" spans="1:19" x14ac:dyDescent="0.15">
      <c r="A6" s="276"/>
      <c r="B6" s="277"/>
      <c r="C6" s="277"/>
      <c r="D6" s="117">
        <v>3</v>
      </c>
      <c r="E6" s="271" t="s">
        <v>529</v>
      </c>
      <c r="F6" s="271"/>
      <c r="G6" s="271"/>
      <c r="H6" s="271" t="s">
        <v>333</v>
      </c>
      <c r="I6" s="271"/>
      <c r="J6" s="271"/>
      <c r="K6" s="271"/>
      <c r="L6" s="117">
        <v>1</v>
      </c>
      <c r="M6" s="271" t="s">
        <v>58</v>
      </c>
      <c r="N6" s="272"/>
    </row>
    <row r="7" spans="1:19" x14ac:dyDescent="0.15">
      <c r="A7" s="276"/>
      <c r="B7" s="277"/>
      <c r="C7" s="277"/>
      <c r="D7" s="117">
        <v>4</v>
      </c>
      <c r="E7" s="271" t="s">
        <v>451</v>
      </c>
      <c r="F7" s="271"/>
      <c r="G7" s="271"/>
      <c r="H7" s="271" t="s">
        <v>326</v>
      </c>
      <c r="I7" s="271"/>
      <c r="J7" s="271"/>
      <c r="K7" s="271"/>
      <c r="L7" s="117">
        <v>1</v>
      </c>
      <c r="M7" s="271" t="s">
        <v>56</v>
      </c>
      <c r="N7" s="272"/>
    </row>
    <row r="8" spans="1:19" x14ac:dyDescent="0.15">
      <c r="A8" s="276"/>
      <c r="B8" s="277"/>
      <c r="C8" s="277"/>
      <c r="D8" s="117">
        <v>5</v>
      </c>
      <c r="E8" s="271" t="s">
        <v>452</v>
      </c>
      <c r="F8" s="271"/>
      <c r="G8" s="271"/>
      <c r="H8" s="271" t="s">
        <v>327</v>
      </c>
      <c r="I8" s="271"/>
      <c r="J8" s="271"/>
      <c r="K8" s="271"/>
      <c r="L8" s="117">
        <v>1</v>
      </c>
      <c r="M8" s="271" t="s">
        <v>58</v>
      </c>
      <c r="N8" s="272"/>
    </row>
    <row r="9" spans="1:19" ht="79.900000000000006" customHeight="1" x14ac:dyDescent="0.15">
      <c r="A9" s="276"/>
      <c r="B9" s="277"/>
      <c r="C9" s="277"/>
      <c r="D9" s="117" t="s">
        <v>52</v>
      </c>
      <c r="E9" s="278" t="s">
        <v>601</v>
      </c>
      <c r="F9" s="278"/>
      <c r="G9" s="278"/>
      <c r="H9" s="278"/>
      <c r="I9" s="278"/>
      <c r="J9" s="278"/>
      <c r="K9" s="278"/>
      <c r="L9" s="278"/>
      <c r="M9" s="278"/>
      <c r="N9" s="279"/>
    </row>
    <row r="10" spans="1:19" s="118" customFormat="1" ht="24" customHeight="1" x14ac:dyDescent="0.3">
      <c r="A10" s="276"/>
      <c r="B10" s="277"/>
      <c r="C10" s="277" t="s">
        <v>495</v>
      </c>
      <c r="D10" s="280" t="s">
        <v>479</v>
      </c>
      <c r="E10" s="280"/>
      <c r="F10" s="280"/>
      <c r="G10" s="280"/>
      <c r="H10" s="280"/>
      <c r="I10" s="280"/>
      <c r="J10" s="280"/>
      <c r="K10" s="280"/>
      <c r="L10" s="280"/>
      <c r="M10" s="280"/>
      <c r="N10" s="281"/>
      <c r="O10" s="114"/>
      <c r="P10" s="114"/>
      <c r="Q10" s="114"/>
      <c r="R10" s="114"/>
      <c r="S10" s="114"/>
    </row>
    <row r="11" spans="1:19" s="118" customFormat="1" ht="15" customHeight="1" x14ac:dyDescent="0.15">
      <c r="A11" s="276"/>
      <c r="B11" s="277"/>
      <c r="C11" s="277"/>
      <c r="D11" s="271" t="s">
        <v>43</v>
      </c>
      <c r="E11" s="271"/>
      <c r="F11" s="271"/>
      <c r="G11" s="271"/>
      <c r="H11" s="271" t="s">
        <v>418</v>
      </c>
      <c r="I11" s="271"/>
      <c r="J11" s="271" t="s">
        <v>465</v>
      </c>
      <c r="K11" s="271"/>
      <c r="L11" s="117" t="s">
        <v>8</v>
      </c>
      <c r="M11" s="271" t="s">
        <v>55</v>
      </c>
      <c r="N11" s="272"/>
      <c r="O11" s="114"/>
      <c r="P11" s="114"/>
      <c r="Q11" s="114"/>
      <c r="R11" s="114"/>
      <c r="S11" s="114"/>
    </row>
    <row r="12" spans="1:19" s="118" customFormat="1" x14ac:dyDescent="0.15">
      <c r="A12" s="276"/>
      <c r="B12" s="277"/>
      <c r="C12" s="277"/>
      <c r="D12" s="117">
        <v>1</v>
      </c>
      <c r="E12" s="271" t="s">
        <v>203</v>
      </c>
      <c r="F12" s="271"/>
      <c r="G12" s="271"/>
      <c r="H12" s="271" t="s">
        <v>218</v>
      </c>
      <c r="I12" s="271"/>
      <c r="J12" s="271"/>
      <c r="K12" s="271"/>
      <c r="L12" s="117">
        <v>1</v>
      </c>
      <c r="M12" s="271" t="s">
        <v>59</v>
      </c>
      <c r="N12" s="272"/>
      <c r="O12" s="114"/>
      <c r="P12" s="114"/>
      <c r="Q12" s="114"/>
      <c r="R12" s="114"/>
      <c r="S12" s="114"/>
    </row>
    <row r="13" spans="1:19" s="118" customFormat="1" x14ac:dyDescent="0.15">
      <c r="A13" s="276"/>
      <c r="B13" s="277"/>
      <c r="C13" s="277"/>
      <c r="D13" s="117">
        <v>2</v>
      </c>
      <c r="E13" s="271" t="s">
        <v>451</v>
      </c>
      <c r="F13" s="271"/>
      <c r="G13" s="271"/>
      <c r="H13" s="271" t="s">
        <v>326</v>
      </c>
      <c r="I13" s="271"/>
      <c r="J13" s="271"/>
      <c r="K13" s="271"/>
      <c r="L13" s="117">
        <v>1</v>
      </c>
      <c r="M13" s="271" t="s">
        <v>56</v>
      </c>
      <c r="N13" s="272"/>
      <c r="O13" s="114"/>
      <c r="P13" s="114"/>
      <c r="Q13" s="114"/>
      <c r="R13" s="114"/>
      <c r="S13" s="114"/>
    </row>
    <row r="14" spans="1:19" s="118" customFormat="1" x14ac:dyDescent="0.15">
      <c r="A14" s="276"/>
      <c r="B14" s="277"/>
      <c r="C14" s="277"/>
      <c r="D14" s="117">
        <v>3</v>
      </c>
      <c r="E14" s="271" t="s">
        <v>452</v>
      </c>
      <c r="F14" s="271"/>
      <c r="G14" s="271"/>
      <c r="H14" s="271" t="s">
        <v>327</v>
      </c>
      <c r="I14" s="271"/>
      <c r="J14" s="271"/>
      <c r="K14" s="271"/>
      <c r="L14" s="117">
        <v>1</v>
      </c>
      <c r="M14" s="271" t="s">
        <v>58</v>
      </c>
      <c r="N14" s="272"/>
      <c r="O14" s="114"/>
      <c r="P14" s="114"/>
      <c r="Q14" s="114"/>
      <c r="R14" s="114"/>
      <c r="S14" s="114"/>
    </row>
    <row r="15" spans="1:19" s="118" customFormat="1" ht="64.150000000000006" customHeight="1" x14ac:dyDescent="0.15">
      <c r="A15" s="276"/>
      <c r="B15" s="277"/>
      <c r="C15" s="277"/>
      <c r="D15" s="117" t="s">
        <v>52</v>
      </c>
      <c r="E15" s="278" t="s">
        <v>602</v>
      </c>
      <c r="F15" s="278"/>
      <c r="G15" s="278"/>
      <c r="H15" s="278"/>
      <c r="I15" s="278"/>
      <c r="J15" s="278"/>
      <c r="K15" s="278"/>
      <c r="L15" s="278"/>
      <c r="M15" s="278"/>
      <c r="N15" s="279"/>
      <c r="O15" s="114"/>
      <c r="P15" s="114"/>
      <c r="Q15" s="114"/>
      <c r="R15" s="114"/>
      <c r="S15" s="114"/>
    </row>
    <row r="16" spans="1:19" s="118" customFormat="1" ht="24" customHeight="1" x14ac:dyDescent="0.3">
      <c r="A16" s="276"/>
      <c r="B16" s="277"/>
      <c r="C16" s="277"/>
      <c r="D16" s="280" t="s">
        <v>450</v>
      </c>
      <c r="E16" s="280"/>
      <c r="F16" s="280"/>
      <c r="G16" s="280"/>
      <c r="H16" s="280"/>
      <c r="I16" s="280"/>
      <c r="J16" s="280"/>
      <c r="K16" s="280"/>
      <c r="L16" s="280"/>
      <c r="M16" s="280"/>
      <c r="N16" s="281"/>
      <c r="O16" s="114"/>
      <c r="P16" s="114"/>
      <c r="Q16" s="114"/>
      <c r="R16" s="114"/>
      <c r="S16" s="114"/>
    </row>
    <row r="17" spans="1:19" s="118" customFormat="1" x14ac:dyDescent="0.15">
      <c r="A17" s="276"/>
      <c r="B17" s="277"/>
      <c r="C17" s="277"/>
      <c r="D17" s="271" t="s">
        <v>43</v>
      </c>
      <c r="E17" s="271"/>
      <c r="F17" s="271"/>
      <c r="G17" s="271"/>
      <c r="H17" s="271" t="s">
        <v>418</v>
      </c>
      <c r="I17" s="271"/>
      <c r="J17" s="271" t="s">
        <v>465</v>
      </c>
      <c r="K17" s="271"/>
      <c r="L17" s="117" t="s">
        <v>8</v>
      </c>
      <c r="M17" s="271" t="s">
        <v>55</v>
      </c>
      <c r="N17" s="272"/>
      <c r="O17" s="114"/>
      <c r="P17" s="114"/>
      <c r="Q17" s="114"/>
      <c r="R17" s="114"/>
      <c r="S17" s="114"/>
    </row>
    <row r="18" spans="1:19" s="118" customFormat="1" x14ac:dyDescent="0.15">
      <c r="A18" s="276"/>
      <c r="B18" s="277"/>
      <c r="C18" s="277"/>
      <c r="D18" s="117">
        <v>1</v>
      </c>
      <c r="E18" s="271" t="s">
        <v>451</v>
      </c>
      <c r="F18" s="271"/>
      <c r="G18" s="271"/>
      <c r="H18" s="271" t="s">
        <v>326</v>
      </c>
      <c r="I18" s="271"/>
      <c r="J18" s="271"/>
      <c r="K18" s="271"/>
      <c r="L18" s="117">
        <v>1</v>
      </c>
      <c r="M18" s="271" t="s">
        <v>56</v>
      </c>
      <c r="N18" s="272"/>
      <c r="O18" s="114"/>
      <c r="P18" s="114"/>
      <c r="Q18" s="114"/>
      <c r="R18" s="114"/>
      <c r="S18" s="114"/>
    </row>
    <row r="19" spans="1:19" s="118" customFormat="1" x14ac:dyDescent="0.15">
      <c r="A19" s="276"/>
      <c r="B19" s="277"/>
      <c r="C19" s="277"/>
      <c r="D19" s="117">
        <v>2</v>
      </c>
      <c r="E19" s="271" t="s">
        <v>452</v>
      </c>
      <c r="F19" s="271"/>
      <c r="G19" s="271"/>
      <c r="H19" s="271" t="s">
        <v>327</v>
      </c>
      <c r="I19" s="271"/>
      <c r="J19" s="271"/>
      <c r="K19" s="271"/>
      <c r="L19" s="117">
        <v>1</v>
      </c>
      <c r="M19" s="271" t="s">
        <v>58</v>
      </c>
      <c r="N19" s="272"/>
      <c r="O19" s="114"/>
      <c r="P19" s="114"/>
      <c r="Q19" s="114"/>
      <c r="R19" s="114"/>
      <c r="S19" s="114"/>
    </row>
    <row r="20" spans="1:19" ht="66.599999999999994" customHeight="1" x14ac:dyDescent="0.15">
      <c r="A20" s="276"/>
      <c r="B20" s="277"/>
      <c r="C20" s="277"/>
      <c r="D20" s="117" t="s">
        <v>52</v>
      </c>
      <c r="E20" s="278" t="s">
        <v>576</v>
      </c>
      <c r="F20" s="278"/>
      <c r="G20" s="278"/>
      <c r="H20" s="278"/>
      <c r="I20" s="278"/>
      <c r="J20" s="278"/>
      <c r="K20" s="278"/>
      <c r="L20" s="278"/>
      <c r="M20" s="278"/>
      <c r="N20" s="279"/>
    </row>
    <row r="21" spans="1:19" ht="24" customHeight="1" x14ac:dyDescent="0.3">
      <c r="A21" s="276"/>
      <c r="B21" s="277" t="s">
        <v>503</v>
      </c>
      <c r="C21" s="277"/>
      <c r="D21" s="280" t="s">
        <v>478</v>
      </c>
      <c r="E21" s="280"/>
      <c r="F21" s="280"/>
      <c r="G21" s="280"/>
      <c r="H21" s="280"/>
      <c r="I21" s="280"/>
      <c r="J21" s="280"/>
      <c r="K21" s="280"/>
      <c r="L21" s="280"/>
      <c r="M21" s="280"/>
      <c r="N21" s="281"/>
    </row>
    <row r="22" spans="1:19" x14ac:dyDescent="0.15">
      <c r="A22" s="276"/>
      <c r="B22" s="277"/>
      <c r="C22" s="277"/>
      <c r="D22" s="271" t="s">
        <v>43</v>
      </c>
      <c r="E22" s="271"/>
      <c r="F22" s="271"/>
      <c r="G22" s="271"/>
      <c r="H22" s="271" t="s">
        <v>418</v>
      </c>
      <c r="I22" s="271"/>
      <c r="J22" s="271" t="s">
        <v>465</v>
      </c>
      <c r="K22" s="271"/>
      <c r="L22" s="117" t="s">
        <v>8</v>
      </c>
      <c r="M22" s="271" t="s">
        <v>55</v>
      </c>
      <c r="N22" s="272"/>
    </row>
    <row r="23" spans="1:19" x14ac:dyDescent="0.15">
      <c r="A23" s="276"/>
      <c r="B23" s="277"/>
      <c r="C23" s="277"/>
      <c r="D23" s="117">
        <v>1</v>
      </c>
      <c r="E23" s="271" t="s">
        <v>514</v>
      </c>
      <c r="F23" s="271"/>
      <c r="G23" s="271"/>
      <c r="H23" s="271" t="s">
        <v>383</v>
      </c>
      <c r="I23" s="271"/>
      <c r="J23" s="271"/>
      <c r="K23" s="271"/>
      <c r="L23" s="117">
        <v>1</v>
      </c>
      <c r="M23" s="271" t="s">
        <v>57</v>
      </c>
      <c r="N23" s="272"/>
    </row>
    <row r="24" spans="1:19" x14ac:dyDescent="0.15">
      <c r="A24" s="276"/>
      <c r="B24" s="277"/>
      <c r="C24" s="277"/>
      <c r="D24" s="117">
        <v>2</v>
      </c>
      <c r="E24" s="271" t="s">
        <v>387</v>
      </c>
      <c r="F24" s="271"/>
      <c r="G24" s="271"/>
      <c r="H24" s="271" t="s">
        <v>381</v>
      </c>
      <c r="I24" s="271"/>
      <c r="J24" s="271"/>
      <c r="K24" s="271"/>
      <c r="L24" s="117">
        <v>1</v>
      </c>
      <c r="M24" s="271" t="s">
        <v>58</v>
      </c>
      <c r="N24" s="272"/>
    </row>
    <row r="25" spans="1:19" x14ac:dyDescent="0.15">
      <c r="A25" s="276"/>
      <c r="B25" s="277"/>
      <c r="C25" s="277"/>
      <c r="D25" s="117">
        <v>3</v>
      </c>
      <c r="E25" s="271" t="s">
        <v>386</v>
      </c>
      <c r="F25" s="271"/>
      <c r="G25" s="271"/>
      <c r="H25" s="271" t="s">
        <v>409</v>
      </c>
      <c r="I25" s="271"/>
      <c r="J25" s="271"/>
      <c r="K25" s="271"/>
      <c r="L25" s="117">
        <v>2</v>
      </c>
      <c r="M25" s="271" t="s">
        <v>56</v>
      </c>
      <c r="N25" s="272"/>
    </row>
    <row r="26" spans="1:19" ht="99.6" customHeight="1" x14ac:dyDescent="0.15">
      <c r="A26" s="276"/>
      <c r="B26" s="277"/>
      <c r="C26" s="277"/>
      <c r="D26" s="117" t="s">
        <v>52</v>
      </c>
      <c r="E26" s="278" t="s">
        <v>556</v>
      </c>
      <c r="F26" s="278"/>
      <c r="G26" s="278"/>
      <c r="H26" s="278"/>
      <c r="I26" s="278"/>
      <c r="J26" s="278"/>
      <c r="K26" s="278"/>
      <c r="L26" s="278"/>
      <c r="M26" s="278"/>
      <c r="N26" s="279"/>
    </row>
    <row r="27" spans="1:19" ht="24" customHeight="1" x14ac:dyDescent="0.3">
      <c r="A27" s="282" t="s">
        <v>477</v>
      </c>
      <c r="B27" s="287" t="s">
        <v>568</v>
      </c>
      <c r="C27" s="287"/>
      <c r="D27" s="284" t="s">
        <v>519</v>
      </c>
      <c r="E27" s="285"/>
      <c r="F27" s="285"/>
      <c r="G27" s="285"/>
      <c r="H27" s="285"/>
      <c r="I27" s="285"/>
      <c r="J27" s="285"/>
      <c r="K27" s="285"/>
      <c r="L27" s="285"/>
      <c r="M27" s="285"/>
      <c r="N27" s="286"/>
    </row>
    <row r="28" spans="1:19" ht="15" customHeight="1" x14ac:dyDescent="0.15">
      <c r="A28" s="282"/>
      <c r="B28" s="277"/>
      <c r="C28" s="277"/>
      <c r="D28" s="271" t="s">
        <v>43</v>
      </c>
      <c r="E28" s="271"/>
      <c r="F28" s="271"/>
      <c r="G28" s="271"/>
      <c r="H28" s="271" t="s">
        <v>418</v>
      </c>
      <c r="I28" s="271"/>
      <c r="J28" s="271" t="s">
        <v>465</v>
      </c>
      <c r="K28" s="271"/>
      <c r="L28" s="117" t="s">
        <v>8</v>
      </c>
      <c r="M28" s="271" t="s">
        <v>55</v>
      </c>
      <c r="N28" s="272"/>
    </row>
    <row r="29" spans="1:19" x14ac:dyDescent="0.15">
      <c r="A29" s="282"/>
      <c r="B29" s="277"/>
      <c r="C29" s="277"/>
      <c r="D29" s="117">
        <v>1</v>
      </c>
      <c r="E29" s="271" t="s">
        <v>256</v>
      </c>
      <c r="F29" s="271"/>
      <c r="G29" s="271"/>
      <c r="H29" s="271" t="s">
        <v>224</v>
      </c>
      <c r="I29" s="271"/>
      <c r="J29" s="271"/>
      <c r="K29" s="271"/>
      <c r="L29" s="117">
        <v>1</v>
      </c>
      <c r="M29" s="271" t="s">
        <v>59</v>
      </c>
      <c r="N29" s="272"/>
    </row>
    <row r="30" spans="1:19" ht="116.45" customHeight="1" x14ac:dyDescent="0.15">
      <c r="A30" s="282"/>
      <c r="B30" s="277"/>
      <c r="C30" s="277"/>
      <c r="D30" s="117" t="s">
        <v>52</v>
      </c>
      <c r="E30" s="278" t="s">
        <v>542</v>
      </c>
      <c r="F30" s="278"/>
      <c r="G30" s="278"/>
      <c r="H30" s="278"/>
      <c r="I30" s="278"/>
      <c r="J30" s="278"/>
      <c r="K30" s="278"/>
      <c r="L30" s="278"/>
      <c r="M30" s="278"/>
      <c r="N30" s="279"/>
      <c r="O30" s="119"/>
      <c r="P30" s="119"/>
      <c r="Q30" s="119"/>
      <c r="R30" s="119"/>
      <c r="S30" s="119"/>
    </row>
    <row r="31" spans="1:19" ht="24" customHeight="1" x14ac:dyDescent="0.3">
      <c r="A31" s="282"/>
      <c r="B31" s="277"/>
      <c r="C31" s="277"/>
      <c r="D31" s="280" t="s">
        <v>429</v>
      </c>
      <c r="E31" s="280"/>
      <c r="F31" s="280"/>
      <c r="G31" s="280"/>
      <c r="H31" s="280"/>
      <c r="I31" s="280"/>
      <c r="J31" s="280"/>
      <c r="K31" s="280"/>
      <c r="L31" s="280"/>
      <c r="M31" s="280"/>
      <c r="N31" s="281"/>
    </row>
    <row r="32" spans="1:19" x14ac:dyDescent="0.15">
      <c r="A32" s="282"/>
      <c r="B32" s="277"/>
      <c r="C32" s="277"/>
      <c r="D32" s="271" t="s">
        <v>43</v>
      </c>
      <c r="E32" s="271"/>
      <c r="F32" s="271"/>
      <c r="G32" s="271"/>
      <c r="H32" s="271" t="s">
        <v>418</v>
      </c>
      <c r="I32" s="271"/>
      <c r="J32" s="271" t="s">
        <v>465</v>
      </c>
      <c r="K32" s="271"/>
      <c r="L32" s="117" t="s">
        <v>8</v>
      </c>
      <c r="M32" s="271" t="s">
        <v>55</v>
      </c>
      <c r="N32" s="272"/>
    </row>
    <row r="33" spans="1:19" x14ac:dyDescent="0.15">
      <c r="A33" s="282"/>
      <c r="B33" s="277"/>
      <c r="C33" s="277"/>
      <c r="D33" s="117">
        <v>1</v>
      </c>
      <c r="E33" s="271" t="s">
        <v>305</v>
      </c>
      <c r="F33" s="271"/>
      <c r="G33" s="271"/>
      <c r="H33" s="271" t="s">
        <v>298</v>
      </c>
      <c r="I33" s="271"/>
      <c r="J33" s="271"/>
      <c r="K33" s="271"/>
      <c r="L33" s="117">
        <v>1</v>
      </c>
      <c r="M33" s="271" t="s">
        <v>56</v>
      </c>
      <c r="N33" s="272"/>
    </row>
    <row r="34" spans="1:19" ht="84" customHeight="1" x14ac:dyDescent="0.15">
      <c r="A34" s="282"/>
      <c r="B34" s="277"/>
      <c r="C34" s="277"/>
      <c r="D34" s="117" t="s">
        <v>52</v>
      </c>
      <c r="E34" s="278" t="s">
        <v>577</v>
      </c>
      <c r="F34" s="278"/>
      <c r="G34" s="278"/>
      <c r="H34" s="278"/>
      <c r="I34" s="278"/>
      <c r="J34" s="278"/>
      <c r="K34" s="278"/>
      <c r="L34" s="278"/>
      <c r="M34" s="278"/>
      <c r="N34" s="279"/>
    </row>
    <row r="35" spans="1:19" ht="24" customHeight="1" x14ac:dyDescent="0.3">
      <c r="A35" s="282"/>
      <c r="B35" s="288" t="s">
        <v>569</v>
      </c>
      <c r="C35" s="289"/>
      <c r="D35" s="297" t="s">
        <v>430</v>
      </c>
      <c r="E35" s="298"/>
      <c r="F35" s="298"/>
      <c r="G35" s="298"/>
      <c r="H35" s="298"/>
      <c r="I35" s="298"/>
      <c r="J35" s="298"/>
      <c r="K35" s="298"/>
      <c r="L35" s="298"/>
      <c r="M35" s="298"/>
      <c r="N35" s="299"/>
    </row>
    <row r="36" spans="1:19" x14ac:dyDescent="0.15">
      <c r="A36" s="282"/>
      <c r="B36" s="288"/>
      <c r="C36" s="289"/>
      <c r="D36" s="292" t="s">
        <v>43</v>
      </c>
      <c r="E36" s="300"/>
      <c r="F36" s="300"/>
      <c r="G36" s="301"/>
      <c r="H36" s="292" t="s">
        <v>418</v>
      </c>
      <c r="I36" s="301"/>
      <c r="J36" s="292" t="s">
        <v>465</v>
      </c>
      <c r="K36" s="301"/>
      <c r="L36" s="117" t="s">
        <v>8</v>
      </c>
      <c r="M36" s="292" t="s">
        <v>55</v>
      </c>
      <c r="N36" s="293"/>
    </row>
    <row r="37" spans="1:19" x14ac:dyDescent="0.15">
      <c r="A37" s="282"/>
      <c r="B37" s="288"/>
      <c r="C37" s="289"/>
      <c r="D37" s="117">
        <v>1</v>
      </c>
      <c r="E37" s="292" t="s">
        <v>304</v>
      </c>
      <c r="F37" s="300"/>
      <c r="G37" s="301"/>
      <c r="H37" s="292" t="s">
        <v>426</v>
      </c>
      <c r="I37" s="301"/>
      <c r="J37" s="292"/>
      <c r="K37" s="301"/>
      <c r="L37" s="117">
        <v>1</v>
      </c>
      <c r="M37" s="292" t="s">
        <v>56</v>
      </c>
      <c r="N37" s="293"/>
    </row>
    <row r="38" spans="1:19" ht="81" customHeight="1" thickBot="1" x14ac:dyDescent="0.2">
      <c r="A38" s="283"/>
      <c r="B38" s="290"/>
      <c r="C38" s="291"/>
      <c r="D38" s="120" t="s">
        <v>52</v>
      </c>
      <c r="E38" s="294" t="s">
        <v>600</v>
      </c>
      <c r="F38" s="295"/>
      <c r="G38" s="295"/>
      <c r="H38" s="295"/>
      <c r="I38" s="295"/>
      <c r="J38" s="295"/>
      <c r="K38" s="295"/>
      <c r="L38" s="295"/>
      <c r="M38" s="295"/>
      <c r="N38" s="296"/>
    </row>
    <row r="39" spans="1:19" s="118" customFormat="1" x14ac:dyDescent="0.15">
      <c r="A39" s="121" t="s">
        <v>475</v>
      </c>
      <c r="B39" s="114"/>
      <c r="C39" s="122"/>
      <c r="D39" s="122"/>
      <c r="E39" s="122"/>
      <c r="F39" s="122"/>
      <c r="G39" s="122"/>
      <c r="H39" s="122"/>
      <c r="I39" s="122"/>
      <c r="J39" s="122"/>
      <c r="K39" s="122"/>
      <c r="L39" s="122"/>
      <c r="M39" s="122"/>
      <c r="N39" s="123"/>
      <c r="O39" s="114"/>
      <c r="P39" s="114"/>
      <c r="Q39" s="114"/>
      <c r="R39" s="114"/>
      <c r="S39" s="114"/>
    </row>
    <row r="40" spans="1:19" s="118" customFormat="1" x14ac:dyDescent="0.15">
      <c r="A40" s="121" t="s">
        <v>476</v>
      </c>
      <c r="B40" s="114"/>
      <c r="C40" s="122"/>
      <c r="D40" s="122"/>
      <c r="E40" s="122"/>
      <c r="F40" s="122"/>
      <c r="G40" s="122"/>
      <c r="H40" s="122"/>
      <c r="I40" s="122"/>
      <c r="J40" s="122"/>
      <c r="K40" s="122"/>
      <c r="L40" s="122"/>
      <c r="M40" s="122"/>
      <c r="N40" s="123"/>
      <c r="O40" s="114"/>
      <c r="P40" s="114"/>
      <c r="Q40" s="114"/>
      <c r="R40" s="114"/>
      <c r="S40" s="114"/>
    </row>
    <row r="41" spans="1:19" s="118" customFormat="1" x14ac:dyDescent="0.15">
      <c r="A41" s="121" t="s">
        <v>504</v>
      </c>
      <c r="B41" s="114"/>
      <c r="C41" s="114"/>
      <c r="D41" s="114"/>
      <c r="E41" s="114"/>
      <c r="F41" s="114"/>
      <c r="G41" s="114"/>
      <c r="H41" s="114"/>
      <c r="I41" s="114"/>
      <c r="J41" s="114"/>
      <c r="K41" s="114"/>
      <c r="L41" s="114"/>
      <c r="M41" s="114"/>
      <c r="N41" s="124"/>
      <c r="O41" s="114"/>
      <c r="P41" s="114"/>
      <c r="Q41" s="114"/>
      <c r="R41" s="114"/>
      <c r="S41" s="114"/>
    </row>
  </sheetData>
  <mergeCells count="115">
    <mergeCell ref="B27:C34"/>
    <mergeCell ref="B35:C38"/>
    <mergeCell ref="M37:N37"/>
    <mergeCell ref="E38:N38"/>
    <mergeCell ref="D35:N35"/>
    <mergeCell ref="D36:G36"/>
    <mergeCell ref="H36:I36"/>
    <mergeCell ref="J36:K36"/>
    <mergeCell ref="M36:N36"/>
    <mergeCell ref="E37:G37"/>
    <mergeCell ref="H37:I37"/>
    <mergeCell ref="J37:K37"/>
    <mergeCell ref="E33:G33"/>
    <mergeCell ref="H33:I33"/>
    <mergeCell ref="J33:K33"/>
    <mergeCell ref="M33:N33"/>
    <mergeCell ref="E34:N34"/>
    <mergeCell ref="E30:N30"/>
    <mergeCell ref="D31:N31"/>
    <mergeCell ref="D32:G32"/>
    <mergeCell ref="H32:I32"/>
    <mergeCell ref="J32:K32"/>
    <mergeCell ref="M32:N32"/>
    <mergeCell ref="H28:I28"/>
    <mergeCell ref="M28:N28"/>
    <mergeCell ref="E29:G29"/>
    <mergeCell ref="H29:I29"/>
    <mergeCell ref="J29:K29"/>
    <mergeCell ref="M29:N29"/>
    <mergeCell ref="E25:G25"/>
    <mergeCell ref="H25:I25"/>
    <mergeCell ref="J25:K25"/>
    <mergeCell ref="M25:N25"/>
    <mergeCell ref="E26:N26"/>
    <mergeCell ref="A27:A38"/>
    <mergeCell ref="D27:N27"/>
    <mergeCell ref="D28:G28"/>
    <mergeCell ref="M22:N22"/>
    <mergeCell ref="E23:G23"/>
    <mergeCell ref="H23:I23"/>
    <mergeCell ref="J23:K23"/>
    <mergeCell ref="M23:N23"/>
    <mergeCell ref="E24:G24"/>
    <mergeCell ref="H24:I24"/>
    <mergeCell ref="J24:K24"/>
    <mergeCell ref="M24:N24"/>
    <mergeCell ref="B21:B26"/>
    <mergeCell ref="D21:N21"/>
    <mergeCell ref="D22:G22"/>
    <mergeCell ref="H22:I22"/>
    <mergeCell ref="J22:K22"/>
    <mergeCell ref="C10:C26"/>
    <mergeCell ref="D10:N10"/>
    <mergeCell ref="D11:G11"/>
    <mergeCell ref="H11:I11"/>
    <mergeCell ref="J11:K11"/>
    <mergeCell ref="M11:N11"/>
    <mergeCell ref="J28:K28"/>
    <mergeCell ref="E20:N20"/>
    <mergeCell ref="E18:G18"/>
    <mergeCell ref="H18:I18"/>
    <mergeCell ref="J18:K18"/>
    <mergeCell ref="M18:N18"/>
    <mergeCell ref="E19:G19"/>
    <mergeCell ref="H19:I19"/>
    <mergeCell ref="J19:K19"/>
    <mergeCell ref="M19:N19"/>
    <mergeCell ref="J6:K6"/>
    <mergeCell ref="M6:N6"/>
    <mergeCell ref="E7:G7"/>
    <mergeCell ref="H7:I7"/>
    <mergeCell ref="J7:K7"/>
    <mergeCell ref="M7:N7"/>
    <mergeCell ref="E15:N15"/>
    <mergeCell ref="D16:N16"/>
    <mergeCell ref="D17:G17"/>
    <mergeCell ref="H17:I17"/>
    <mergeCell ref="J17:K17"/>
    <mergeCell ref="M17:N17"/>
    <mergeCell ref="M12:N12"/>
    <mergeCell ref="E13:G13"/>
    <mergeCell ref="H13:I13"/>
    <mergeCell ref="J13:K13"/>
    <mergeCell ref="M13:N13"/>
    <mergeCell ref="E14:G14"/>
    <mergeCell ref="H14:I14"/>
    <mergeCell ref="J14:K14"/>
    <mergeCell ref="M14:N14"/>
    <mergeCell ref="E12:G12"/>
    <mergeCell ref="H12:I12"/>
    <mergeCell ref="J12:K12"/>
    <mergeCell ref="H4:I4"/>
    <mergeCell ref="J4:K4"/>
    <mergeCell ref="M4:N4"/>
    <mergeCell ref="E5:G5"/>
    <mergeCell ref="H5:I5"/>
    <mergeCell ref="J5:K5"/>
    <mergeCell ref="M5:N5"/>
    <mergeCell ref="A1:N1"/>
    <mergeCell ref="D2:N2"/>
    <mergeCell ref="A3:A26"/>
    <mergeCell ref="B3:B20"/>
    <mergeCell ref="C3:C9"/>
    <mergeCell ref="D3:G3"/>
    <mergeCell ref="H3:I3"/>
    <mergeCell ref="J3:K3"/>
    <mergeCell ref="M3:N3"/>
    <mergeCell ref="E4:G4"/>
    <mergeCell ref="E8:G8"/>
    <mergeCell ref="H8:I8"/>
    <mergeCell ref="J8:K8"/>
    <mergeCell ref="M8:N8"/>
    <mergeCell ref="E9:N9"/>
    <mergeCell ref="E6:G6"/>
    <mergeCell ref="H6:I6"/>
  </mergeCells>
  <phoneticPr fontId="1"/>
  <printOptions horizontalCentered="1"/>
  <pageMargins left="0.7" right="0.7" top="0.75" bottom="0.75" header="0.3" footer="0.3"/>
  <pageSetup paperSize="8" scale="99" orientation="portrait" r:id="rId1"/>
  <rowBreaks count="2" manualBreakCount="2">
    <brk id="2" max="13" man="1"/>
    <brk id="26"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T72"/>
  <sheetViews>
    <sheetView topLeftCell="A46" workbookViewId="0">
      <selection activeCell="E47" sqref="E47:N47"/>
    </sheetView>
  </sheetViews>
  <sheetFormatPr defaultColWidth="8.875" defaultRowHeight="15.75" x14ac:dyDescent="0.15"/>
  <cols>
    <col min="1" max="3" width="3.5" style="100" bestFit="1" customWidth="1"/>
    <col min="4" max="4" width="5.5" style="100" bestFit="1" customWidth="1"/>
    <col min="5" max="6" width="5.5" style="100" customWidth="1"/>
    <col min="7" max="7" width="35.875" style="100" customWidth="1"/>
    <col min="8" max="8" width="9.75" style="100" customWidth="1"/>
    <col min="9" max="9" width="9.5" style="100" customWidth="1"/>
    <col min="10" max="10" width="9.75" style="100" customWidth="1"/>
    <col min="11" max="11" width="10" style="100" customWidth="1"/>
    <col min="12" max="12" width="9.5" style="100" customWidth="1"/>
    <col min="13" max="13" width="3.75" style="100" customWidth="1"/>
    <col min="14" max="14" width="4.25" style="110" customWidth="1"/>
    <col min="15" max="15" width="8.375" style="99" customWidth="1"/>
    <col min="16" max="16384" width="8.875" style="100"/>
  </cols>
  <sheetData>
    <row r="1" spans="1:14" ht="27" customHeight="1" thickBot="1" x14ac:dyDescent="0.35">
      <c r="A1" s="318" t="s">
        <v>547</v>
      </c>
      <c r="B1" s="318"/>
      <c r="C1" s="318"/>
      <c r="D1" s="318"/>
      <c r="E1" s="318"/>
      <c r="F1" s="318"/>
      <c r="G1" s="318"/>
      <c r="H1" s="318"/>
      <c r="I1" s="318"/>
      <c r="J1" s="318"/>
      <c r="K1" s="318"/>
      <c r="L1" s="318"/>
      <c r="M1" s="318"/>
      <c r="N1" s="318"/>
    </row>
    <row r="2" spans="1:14" ht="26.45" customHeight="1" x14ac:dyDescent="0.3">
      <c r="A2" s="101" t="s">
        <v>467</v>
      </c>
      <c r="B2" s="102" t="s">
        <v>526</v>
      </c>
      <c r="C2" s="102" t="s">
        <v>473</v>
      </c>
      <c r="D2" s="339" t="s">
        <v>479</v>
      </c>
      <c r="E2" s="339"/>
      <c r="F2" s="339"/>
      <c r="G2" s="339"/>
      <c r="H2" s="339"/>
      <c r="I2" s="339"/>
      <c r="J2" s="339"/>
      <c r="K2" s="339"/>
      <c r="L2" s="339"/>
      <c r="M2" s="339"/>
      <c r="N2" s="340"/>
    </row>
    <row r="3" spans="1:14" ht="15" customHeight="1" x14ac:dyDescent="0.15">
      <c r="A3" s="321" t="s">
        <v>520</v>
      </c>
      <c r="B3" s="302" t="s">
        <v>518</v>
      </c>
      <c r="C3" s="319" t="s">
        <v>487</v>
      </c>
      <c r="D3" s="307" t="s">
        <v>43</v>
      </c>
      <c r="E3" s="308"/>
      <c r="F3" s="308"/>
      <c r="G3" s="309"/>
      <c r="H3" s="305" t="s">
        <v>418</v>
      </c>
      <c r="I3" s="305"/>
      <c r="J3" s="305" t="s">
        <v>465</v>
      </c>
      <c r="K3" s="305"/>
      <c r="L3" s="98" t="s">
        <v>8</v>
      </c>
      <c r="M3" s="305" t="s">
        <v>55</v>
      </c>
      <c r="N3" s="306"/>
    </row>
    <row r="4" spans="1:14" x14ac:dyDescent="0.15">
      <c r="A4" s="322"/>
      <c r="B4" s="303"/>
      <c r="C4" s="319"/>
      <c r="D4" s="98">
        <v>1</v>
      </c>
      <c r="E4" s="305" t="s">
        <v>258</v>
      </c>
      <c r="F4" s="305"/>
      <c r="G4" s="305"/>
      <c r="H4" s="305" t="s">
        <v>218</v>
      </c>
      <c r="I4" s="305"/>
      <c r="J4" s="305"/>
      <c r="K4" s="305"/>
      <c r="L4" s="98">
        <v>1</v>
      </c>
      <c r="M4" s="305" t="s">
        <v>59</v>
      </c>
      <c r="N4" s="306"/>
    </row>
    <row r="5" spans="1:14" x14ac:dyDescent="0.15">
      <c r="A5" s="322"/>
      <c r="B5" s="303"/>
      <c r="C5" s="319"/>
      <c r="D5" s="98">
        <v>2</v>
      </c>
      <c r="E5" s="305" t="s">
        <v>528</v>
      </c>
      <c r="F5" s="305"/>
      <c r="G5" s="305"/>
      <c r="H5" s="307" t="s">
        <v>531</v>
      </c>
      <c r="I5" s="309"/>
      <c r="J5" s="305"/>
      <c r="K5" s="305"/>
      <c r="L5" s="98">
        <v>1</v>
      </c>
      <c r="M5" s="305" t="s">
        <v>56</v>
      </c>
      <c r="N5" s="306"/>
    </row>
    <row r="6" spans="1:14" x14ac:dyDescent="0.15">
      <c r="A6" s="322"/>
      <c r="B6" s="303"/>
      <c r="C6" s="319"/>
      <c r="D6" s="98">
        <v>3</v>
      </c>
      <c r="E6" s="305" t="s">
        <v>529</v>
      </c>
      <c r="F6" s="305"/>
      <c r="G6" s="305"/>
      <c r="H6" s="307" t="s">
        <v>533</v>
      </c>
      <c r="I6" s="309"/>
      <c r="J6" s="305"/>
      <c r="K6" s="305"/>
      <c r="L6" s="98">
        <v>1</v>
      </c>
      <c r="M6" s="305" t="s">
        <v>58</v>
      </c>
      <c r="N6" s="306"/>
    </row>
    <row r="7" spans="1:14" x14ac:dyDescent="0.15">
      <c r="A7" s="322"/>
      <c r="B7" s="303"/>
      <c r="C7" s="319"/>
      <c r="D7" s="98">
        <v>4</v>
      </c>
      <c r="E7" s="305" t="s">
        <v>451</v>
      </c>
      <c r="F7" s="305"/>
      <c r="G7" s="305"/>
      <c r="H7" s="305" t="s">
        <v>326</v>
      </c>
      <c r="I7" s="305"/>
      <c r="J7" s="305"/>
      <c r="K7" s="305"/>
      <c r="L7" s="98">
        <v>1</v>
      </c>
      <c r="M7" s="305" t="s">
        <v>56</v>
      </c>
      <c r="N7" s="306"/>
    </row>
    <row r="8" spans="1:14" x14ac:dyDescent="0.15">
      <c r="A8" s="322"/>
      <c r="B8" s="303"/>
      <c r="C8" s="319"/>
      <c r="D8" s="98">
        <v>5</v>
      </c>
      <c r="E8" s="305" t="s">
        <v>452</v>
      </c>
      <c r="F8" s="305"/>
      <c r="G8" s="305"/>
      <c r="H8" s="305" t="s">
        <v>327</v>
      </c>
      <c r="I8" s="305"/>
      <c r="J8" s="305"/>
      <c r="K8" s="305"/>
      <c r="L8" s="98">
        <v>1</v>
      </c>
      <c r="M8" s="305" t="s">
        <v>58</v>
      </c>
      <c r="N8" s="306"/>
    </row>
    <row r="9" spans="1:14" ht="82.9" customHeight="1" x14ac:dyDescent="0.15">
      <c r="A9" s="322"/>
      <c r="B9" s="303"/>
      <c r="C9" s="319"/>
      <c r="D9" s="98" t="s">
        <v>52</v>
      </c>
      <c r="E9" s="310" t="s">
        <v>545</v>
      </c>
      <c r="F9" s="310"/>
      <c r="G9" s="310"/>
      <c r="H9" s="310"/>
      <c r="I9" s="310"/>
      <c r="J9" s="310"/>
      <c r="K9" s="310"/>
      <c r="L9" s="310"/>
      <c r="M9" s="310"/>
      <c r="N9" s="311"/>
    </row>
    <row r="10" spans="1:14" ht="24" customHeight="1" x14ac:dyDescent="0.3">
      <c r="A10" s="322"/>
      <c r="B10" s="303"/>
      <c r="C10" s="319"/>
      <c r="D10" s="313" t="s">
        <v>450</v>
      </c>
      <c r="E10" s="314"/>
      <c r="F10" s="314"/>
      <c r="G10" s="314"/>
      <c r="H10" s="314"/>
      <c r="I10" s="314"/>
      <c r="J10" s="314"/>
      <c r="K10" s="314"/>
      <c r="L10" s="314"/>
      <c r="M10" s="314"/>
      <c r="N10" s="315"/>
    </row>
    <row r="11" spans="1:14" x14ac:dyDescent="0.15">
      <c r="A11" s="322"/>
      <c r="B11" s="303"/>
      <c r="C11" s="319"/>
      <c r="D11" s="307" t="s">
        <v>43</v>
      </c>
      <c r="E11" s="308"/>
      <c r="F11" s="308"/>
      <c r="G11" s="309"/>
      <c r="H11" s="307" t="s">
        <v>418</v>
      </c>
      <c r="I11" s="309"/>
      <c r="J11" s="307" t="s">
        <v>465</v>
      </c>
      <c r="K11" s="309"/>
      <c r="L11" s="98" t="s">
        <v>8</v>
      </c>
      <c r="M11" s="307" t="s">
        <v>55</v>
      </c>
      <c r="N11" s="312"/>
    </row>
    <row r="12" spans="1:14" x14ac:dyDescent="0.15">
      <c r="A12" s="322"/>
      <c r="B12" s="303"/>
      <c r="C12" s="319"/>
      <c r="D12" s="98">
        <v>1</v>
      </c>
      <c r="E12" s="307" t="s">
        <v>528</v>
      </c>
      <c r="F12" s="308"/>
      <c r="G12" s="309"/>
      <c r="H12" s="307" t="s">
        <v>531</v>
      </c>
      <c r="I12" s="309"/>
      <c r="J12" s="307"/>
      <c r="K12" s="309"/>
      <c r="L12" s="98">
        <v>1</v>
      </c>
      <c r="M12" s="307" t="s">
        <v>56</v>
      </c>
      <c r="N12" s="312"/>
    </row>
    <row r="13" spans="1:14" x14ac:dyDescent="0.15">
      <c r="A13" s="322"/>
      <c r="B13" s="303"/>
      <c r="C13" s="319"/>
      <c r="D13" s="98">
        <v>2</v>
      </c>
      <c r="E13" s="307" t="s">
        <v>529</v>
      </c>
      <c r="F13" s="308"/>
      <c r="G13" s="309"/>
      <c r="H13" s="307" t="s">
        <v>533</v>
      </c>
      <c r="I13" s="309"/>
      <c r="J13" s="307"/>
      <c r="K13" s="309"/>
      <c r="L13" s="98">
        <v>1</v>
      </c>
      <c r="M13" s="307" t="s">
        <v>58</v>
      </c>
      <c r="N13" s="312"/>
    </row>
    <row r="14" spans="1:14" x14ac:dyDescent="0.15">
      <c r="A14" s="322"/>
      <c r="B14" s="303"/>
      <c r="C14" s="319"/>
      <c r="D14" s="98">
        <v>3</v>
      </c>
      <c r="E14" s="307" t="s">
        <v>451</v>
      </c>
      <c r="F14" s="308"/>
      <c r="G14" s="309"/>
      <c r="H14" s="307" t="s">
        <v>453</v>
      </c>
      <c r="I14" s="309"/>
      <c r="J14" s="307"/>
      <c r="K14" s="309"/>
      <c r="L14" s="98">
        <v>1</v>
      </c>
      <c r="M14" s="307" t="s">
        <v>56</v>
      </c>
      <c r="N14" s="312"/>
    </row>
    <row r="15" spans="1:14" x14ac:dyDescent="0.15">
      <c r="A15" s="322"/>
      <c r="B15" s="303"/>
      <c r="C15" s="319"/>
      <c r="D15" s="98">
        <v>4</v>
      </c>
      <c r="E15" s="307" t="s">
        <v>452</v>
      </c>
      <c r="F15" s="308"/>
      <c r="G15" s="309"/>
      <c r="H15" s="307" t="s">
        <v>454</v>
      </c>
      <c r="I15" s="309"/>
      <c r="J15" s="307"/>
      <c r="K15" s="309"/>
      <c r="L15" s="98">
        <v>1</v>
      </c>
      <c r="M15" s="307" t="s">
        <v>58</v>
      </c>
      <c r="N15" s="312"/>
    </row>
    <row r="16" spans="1:14" ht="79.150000000000006" customHeight="1" x14ac:dyDescent="0.15">
      <c r="A16" s="322"/>
      <c r="B16" s="303"/>
      <c r="C16" s="319"/>
      <c r="D16" s="98" t="s">
        <v>52</v>
      </c>
      <c r="E16" s="324" t="s">
        <v>554</v>
      </c>
      <c r="F16" s="325"/>
      <c r="G16" s="325"/>
      <c r="H16" s="325"/>
      <c r="I16" s="325"/>
      <c r="J16" s="325"/>
      <c r="K16" s="325"/>
      <c r="L16" s="325"/>
      <c r="M16" s="325"/>
      <c r="N16" s="326"/>
    </row>
    <row r="17" spans="1:14" ht="24" customHeight="1" x14ac:dyDescent="0.3">
      <c r="A17" s="322"/>
      <c r="B17" s="303"/>
      <c r="C17" s="319"/>
      <c r="D17" s="316" t="s">
        <v>478</v>
      </c>
      <c r="E17" s="316"/>
      <c r="F17" s="316"/>
      <c r="G17" s="316"/>
      <c r="H17" s="316"/>
      <c r="I17" s="316"/>
      <c r="J17" s="316"/>
      <c r="K17" s="316"/>
      <c r="L17" s="316"/>
      <c r="M17" s="316"/>
      <c r="N17" s="317"/>
    </row>
    <row r="18" spans="1:14" x14ac:dyDescent="0.15">
      <c r="A18" s="322"/>
      <c r="B18" s="303"/>
      <c r="C18" s="319"/>
      <c r="D18" s="305" t="s">
        <v>43</v>
      </c>
      <c r="E18" s="305"/>
      <c r="F18" s="305"/>
      <c r="G18" s="305"/>
      <c r="H18" s="305" t="s">
        <v>418</v>
      </c>
      <c r="I18" s="305"/>
      <c r="J18" s="305" t="s">
        <v>465</v>
      </c>
      <c r="K18" s="305"/>
      <c r="L18" s="98" t="s">
        <v>8</v>
      </c>
      <c r="M18" s="305" t="s">
        <v>55</v>
      </c>
      <c r="N18" s="306"/>
    </row>
    <row r="19" spans="1:14" x14ac:dyDescent="0.15">
      <c r="A19" s="322"/>
      <c r="B19" s="303"/>
      <c r="C19" s="319"/>
      <c r="D19" s="98">
        <v>1</v>
      </c>
      <c r="E19" s="305" t="s">
        <v>534</v>
      </c>
      <c r="F19" s="305"/>
      <c r="G19" s="305"/>
      <c r="H19" s="307" t="s">
        <v>537</v>
      </c>
      <c r="I19" s="309"/>
      <c r="J19" s="305"/>
      <c r="K19" s="305"/>
      <c r="L19" s="98">
        <v>1</v>
      </c>
      <c r="M19" s="305" t="s">
        <v>57</v>
      </c>
      <c r="N19" s="306"/>
    </row>
    <row r="20" spans="1:14" x14ac:dyDescent="0.15">
      <c r="A20" s="322"/>
      <c r="B20" s="303"/>
      <c r="C20" s="319"/>
      <c r="D20" s="98">
        <v>2</v>
      </c>
      <c r="E20" s="305" t="s">
        <v>535</v>
      </c>
      <c r="F20" s="305"/>
      <c r="G20" s="305"/>
      <c r="H20" s="307" t="s">
        <v>539</v>
      </c>
      <c r="I20" s="309"/>
      <c r="J20" s="305"/>
      <c r="K20" s="305"/>
      <c r="L20" s="98">
        <v>1</v>
      </c>
      <c r="M20" s="305" t="s">
        <v>58</v>
      </c>
      <c r="N20" s="306"/>
    </row>
    <row r="21" spans="1:14" x14ac:dyDescent="0.15">
      <c r="A21" s="322"/>
      <c r="B21" s="303"/>
      <c r="C21" s="319"/>
      <c r="D21" s="98">
        <v>3</v>
      </c>
      <c r="E21" s="305" t="s">
        <v>386</v>
      </c>
      <c r="F21" s="305"/>
      <c r="G21" s="305"/>
      <c r="H21" s="305" t="s">
        <v>409</v>
      </c>
      <c r="I21" s="305"/>
      <c r="J21" s="305"/>
      <c r="K21" s="305"/>
      <c r="L21" s="98">
        <v>2</v>
      </c>
      <c r="M21" s="305" t="s">
        <v>56</v>
      </c>
      <c r="N21" s="306"/>
    </row>
    <row r="22" spans="1:14" ht="75.599999999999994" customHeight="1" x14ac:dyDescent="0.15">
      <c r="A22" s="322"/>
      <c r="B22" s="303"/>
      <c r="C22" s="319"/>
      <c r="D22" s="98" t="s">
        <v>52</v>
      </c>
      <c r="E22" s="310" t="s">
        <v>555</v>
      </c>
      <c r="F22" s="310"/>
      <c r="G22" s="310"/>
      <c r="H22" s="310"/>
      <c r="I22" s="310"/>
      <c r="J22" s="310"/>
      <c r="K22" s="310"/>
      <c r="L22" s="310"/>
      <c r="M22" s="310"/>
      <c r="N22" s="311"/>
    </row>
    <row r="23" spans="1:14" ht="24" customHeight="1" x14ac:dyDescent="0.3">
      <c r="A23" s="322"/>
      <c r="B23" s="303"/>
      <c r="C23" s="303" t="s">
        <v>527</v>
      </c>
      <c r="D23" s="316" t="s">
        <v>479</v>
      </c>
      <c r="E23" s="316"/>
      <c r="F23" s="316"/>
      <c r="G23" s="316"/>
      <c r="H23" s="316"/>
      <c r="I23" s="316"/>
      <c r="J23" s="316"/>
      <c r="K23" s="316"/>
      <c r="L23" s="316"/>
      <c r="M23" s="316"/>
      <c r="N23" s="317"/>
    </row>
    <row r="24" spans="1:14" ht="15" customHeight="1" x14ac:dyDescent="0.15">
      <c r="A24" s="322"/>
      <c r="B24" s="303"/>
      <c r="C24" s="303"/>
      <c r="D24" s="307" t="s">
        <v>43</v>
      </c>
      <c r="E24" s="308"/>
      <c r="F24" s="308"/>
      <c r="G24" s="309"/>
      <c r="H24" s="305" t="s">
        <v>418</v>
      </c>
      <c r="I24" s="305"/>
      <c r="J24" s="305" t="s">
        <v>465</v>
      </c>
      <c r="K24" s="305"/>
      <c r="L24" s="98" t="s">
        <v>8</v>
      </c>
      <c r="M24" s="305" t="s">
        <v>55</v>
      </c>
      <c r="N24" s="306"/>
    </row>
    <row r="25" spans="1:14" x14ac:dyDescent="0.15">
      <c r="A25" s="322"/>
      <c r="B25" s="303"/>
      <c r="C25" s="303"/>
      <c r="D25" s="98">
        <v>1</v>
      </c>
      <c r="E25" s="305" t="s">
        <v>258</v>
      </c>
      <c r="F25" s="305"/>
      <c r="G25" s="305"/>
      <c r="H25" s="305" t="s">
        <v>464</v>
      </c>
      <c r="I25" s="305"/>
      <c r="J25" s="305"/>
      <c r="K25" s="305"/>
      <c r="L25" s="98">
        <v>1</v>
      </c>
      <c r="M25" s="305" t="s">
        <v>59</v>
      </c>
      <c r="N25" s="306"/>
    </row>
    <row r="26" spans="1:14" x14ac:dyDescent="0.15">
      <c r="A26" s="322"/>
      <c r="B26" s="303"/>
      <c r="C26" s="303"/>
      <c r="D26" s="98">
        <v>2</v>
      </c>
      <c r="E26" s="305" t="s">
        <v>451</v>
      </c>
      <c r="F26" s="305"/>
      <c r="G26" s="305"/>
      <c r="H26" s="305" t="s">
        <v>326</v>
      </c>
      <c r="I26" s="305"/>
      <c r="J26" s="305"/>
      <c r="K26" s="305"/>
      <c r="L26" s="98">
        <v>1</v>
      </c>
      <c r="M26" s="305" t="s">
        <v>56</v>
      </c>
      <c r="N26" s="306"/>
    </row>
    <row r="27" spans="1:14" x14ac:dyDescent="0.15">
      <c r="A27" s="322"/>
      <c r="B27" s="303"/>
      <c r="C27" s="303"/>
      <c r="D27" s="98">
        <v>3</v>
      </c>
      <c r="E27" s="305" t="s">
        <v>452</v>
      </c>
      <c r="F27" s="305"/>
      <c r="G27" s="305"/>
      <c r="H27" s="305" t="s">
        <v>327</v>
      </c>
      <c r="I27" s="305"/>
      <c r="J27" s="305"/>
      <c r="K27" s="305"/>
      <c r="L27" s="98">
        <v>1</v>
      </c>
      <c r="M27" s="305" t="s">
        <v>58</v>
      </c>
      <c r="N27" s="306"/>
    </row>
    <row r="28" spans="1:14" ht="67.150000000000006" customHeight="1" x14ac:dyDescent="0.15">
      <c r="A28" s="322"/>
      <c r="B28" s="303"/>
      <c r="C28" s="303"/>
      <c r="D28" s="98" t="s">
        <v>52</v>
      </c>
      <c r="E28" s="310" t="s">
        <v>546</v>
      </c>
      <c r="F28" s="310"/>
      <c r="G28" s="310"/>
      <c r="H28" s="310"/>
      <c r="I28" s="310"/>
      <c r="J28" s="310"/>
      <c r="K28" s="310"/>
      <c r="L28" s="310"/>
      <c r="M28" s="310"/>
      <c r="N28" s="311"/>
    </row>
    <row r="29" spans="1:14" ht="24" customHeight="1" x14ac:dyDescent="0.3">
      <c r="A29" s="322"/>
      <c r="B29" s="303"/>
      <c r="C29" s="303"/>
      <c r="D29" s="316" t="s">
        <v>450</v>
      </c>
      <c r="E29" s="316"/>
      <c r="F29" s="316"/>
      <c r="G29" s="316"/>
      <c r="H29" s="316"/>
      <c r="I29" s="316"/>
      <c r="J29" s="316"/>
      <c r="K29" s="316"/>
      <c r="L29" s="316"/>
      <c r="M29" s="316"/>
      <c r="N29" s="317"/>
    </row>
    <row r="30" spans="1:14" x14ac:dyDescent="0.15">
      <c r="A30" s="322"/>
      <c r="B30" s="303"/>
      <c r="C30" s="303"/>
      <c r="D30" s="305" t="s">
        <v>43</v>
      </c>
      <c r="E30" s="305"/>
      <c r="F30" s="305"/>
      <c r="G30" s="305"/>
      <c r="H30" s="305" t="s">
        <v>418</v>
      </c>
      <c r="I30" s="305"/>
      <c r="J30" s="305" t="s">
        <v>465</v>
      </c>
      <c r="K30" s="305"/>
      <c r="L30" s="98" t="s">
        <v>8</v>
      </c>
      <c r="M30" s="305" t="s">
        <v>55</v>
      </c>
      <c r="N30" s="306"/>
    </row>
    <row r="31" spans="1:14" x14ac:dyDescent="0.15">
      <c r="A31" s="322"/>
      <c r="B31" s="303"/>
      <c r="C31" s="303"/>
      <c r="D31" s="98">
        <v>1</v>
      </c>
      <c r="E31" s="305" t="s">
        <v>451</v>
      </c>
      <c r="F31" s="305"/>
      <c r="G31" s="305"/>
      <c r="H31" s="305" t="s">
        <v>453</v>
      </c>
      <c r="I31" s="305"/>
      <c r="J31" s="305"/>
      <c r="K31" s="305"/>
      <c r="L31" s="98">
        <v>1</v>
      </c>
      <c r="M31" s="305" t="s">
        <v>56</v>
      </c>
      <c r="N31" s="306"/>
    </row>
    <row r="32" spans="1:14" x14ac:dyDescent="0.15">
      <c r="A32" s="322"/>
      <c r="B32" s="303"/>
      <c r="C32" s="303"/>
      <c r="D32" s="98">
        <v>2</v>
      </c>
      <c r="E32" s="305" t="s">
        <v>452</v>
      </c>
      <c r="F32" s="305"/>
      <c r="G32" s="305"/>
      <c r="H32" s="305" t="s">
        <v>454</v>
      </c>
      <c r="I32" s="305"/>
      <c r="J32" s="305"/>
      <c r="K32" s="305"/>
      <c r="L32" s="98">
        <v>1</v>
      </c>
      <c r="M32" s="305" t="s">
        <v>58</v>
      </c>
      <c r="N32" s="306"/>
    </row>
    <row r="33" spans="1:20" ht="51" customHeight="1" x14ac:dyDescent="0.15">
      <c r="A33" s="322"/>
      <c r="B33" s="303"/>
      <c r="C33" s="303"/>
      <c r="D33" s="98" t="s">
        <v>52</v>
      </c>
      <c r="E33" s="310" t="s">
        <v>548</v>
      </c>
      <c r="F33" s="310"/>
      <c r="G33" s="310"/>
      <c r="H33" s="310"/>
      <c r="I33" s="310"/>
      <c r="J33" s="310"/>
      <c r="K33" s="310"/>
      <c r="L33" s="310"/>
      <c r="M33" s="310"/>
      <c r="N33" s="311"/>
    </row>
    <row r="34" spans="1:20" ht="24" customHeight="1" x14ac:dyDescent="0.3">
      <c r="A34" s="322"/>
      <c r="B34" s="303"/>
      <c r="C34" s="303"/>
      <c r="D34" s="316" t="s">
        <v>478</v>
      </c>
      <c r="E34" s="316"/>
      <c r="F34" s="316"/>
      <c r="G34" s="316"/>
      <c r="H34" s="316"/>
      <c r="I34" s="316"/>
      <c r="J34" s="316"/>
      <c r="K34" s="316"/>
      <c r="L34" s="316"/>
      <c r="M34" s="316"/>
      <c r="N34" s="317"/>
    </row>
    <row r="35" spans="1:20" x14ac:dyDescent="0.15">
      <c r="A35" s="322"/>
      <c r="B35" s="303"/>
      <c r="C35" s="303"/>
      <c r="D35" s="305" t="s">
        <v>43</v>
      </c>
      <c r="E35" s="305"/>
      <c r="F35" s="305"/>
      <c r="G35" s="305"/>
      <c r="H35" s="305" t="s">
        <v>418</v>
      </c>
      <c r="I35" s="305"/>
      <c r="J35" s="305" t="s">
        <v>465</v>
      </c>
      <c r="K35" s="305"/>
      <c r="L35" s="98" t="s">
        <v>8</v>
      </c>
      <c r="M35" s="305" t="s">
        <v>55</v>
      </c>
      <c r="N35" s="306"/>
    </row>
    <row r="36" spans="1:20" x14ac:dyDescent="0.15">
      <c r="A36" s="322"/>
      <c r="B36" s="303"/>
      <c r="C36" s="303"/>
      <c r="D36" s="98">
        <v>1</v>
      </c>
      <c r="E36" s="305" t="s">
        <v>386</v>
      </c>
      <c r="F36" s="305"/>
      <c r="G36" s="305"/>
      <c r="H36" s="305" t="s">
        <v>409</v>
      </c>
      <c r="I36" s="305"/>
      <c r="J36" s="305"/>
      <c r="K36" s="305"/>
      <c r="L36" s="98">
        <v>2</v>
      </c>
      <c r="M36" s="305" t="s">
        <v>56</v>
      </c>
      <c r="N36" s="306"/>
    </row>
    <row r="37" spans="1:20" ht="70.900000000000006" customHeight="1" x14ac:dyDescent="0.15">
      <c r="A37" s="322"/>
      <c r="B37" s="320"/>
      <c r="C37" s="303"/>
      <c r="D37" s="98" t="s">
        <v>52</v>
      </c>
      <c r="E37" s="310" t="s">
        <v>557</v>
      </c>
      <c r="F37" s="310"/>
      <c r="G37" s="310"/>
      <c r="H37" s="310"/>
      <c r="I37" s="310"/>
      <c r="J37" s="310"/>
      <c r="K37" s="310"/>
      <c r="L37" s="310"/>
      <c r="M37" s="310"/>
      <c r="N37" s="311"/>
    </row>
    <row r="38" spans="1:20" ht="24" customHeight="1" x14ac:dyDescent="0.3">
      <c r="A38" s="322"/>
      <c r="B38" s="319" t="s">
        <v>503</v>
      </c>
      <c r="C38" s="303"/>
      <c r="D38" s="316" t="s">
        <v>478</v>
      </c>
      <c r="E38" s="316"/>
      <c r="F38" s="316"/>
      <c r="G38" s="316"/>
      <c r="H38" s="316"/>
      <c r="I38" s="316"/>
      <c r="J38" s="316"/>
      <c r="K38" s="316"/>
      <c r="L38" s="316"/>
      <c r="M38" s="316"/>
      <c r="N38" s="317"/>
    </row>
    <row r="39" spans="1:20" x14ac:dyDescent="0.15">
      <c r="A39" s="322"/>
      <c r="B39" s="319"/>
      <c r="C39" s="303"/>
      <c r="D39" s="305" t="s">
        <v>43</v>
      </c>
      <c r="E39" s="305"/>
      <c r="F39" s="305"/>
      <c r="G39" s="305"/>
      <c r="H39" s="305" t="s">
        <v>418</v>
      </c>
      <c r="I39" s="305"/>
      <c r="J39" s="305" t="s">
        <v>465</v>
      </c>
      <c r="K39" s="305"/>
      <c r="L39" s="98" t="s">
        <v>8</v>
      </c>
      <c r="M39" s="305" t="s">
        <v>55</v>
      </c>
      <c r="N39" s="306"/>
    </row>
    <row r="40" spans="1:20" x14ac:dyDescent="0.15">
      <c r="A40" s="322"/>
      <c r="B40" s="319"/>
      <c r="C40" s="303"/>
      <c r="D40" s="98">
        <v>1</v>
      </c>
      <c r="E40" s="305" t="s">
        <v>514</v>
      </c>
      <c r="F40" s="305"/>
      <c r="G40" s="305"/>
      <c r="H40" s="305" t="s">
        <v>515</v>
      </c>
      <c r="I40" s="305"/>
      <c r="J40" s="305"/>
      <c r="K40" s="305"/>
      <c r="L40" s="98">
        <v>1</v>
      </c>
      <c r="M40" s="305" t="s">
        <v>57</v>
      </c>
      <c r="N40" s="306"/>
    </row>
    <row r="41" spans="1:20" x14ac:dyDescent="0.15">
      <c r="A41" s="322"/>
      <c r="B41" s="319"/>
      <c r="C41" s="303"/>
      <c r="D41" s="98">
        <v>2</v>
      </c>
      <c r="E41" s="305" t="s">
        <v>387</v>
      </c>
      <c r="F41" s="305"/>
      <c r="G41" s="305"/>
      <c r="H41" s="305" t="s">
        <v>516</v>
      </c>
      <c r="I41" s="305"/>
      <c r="J41" s="305"/>
      <c r="K41" s="305"/>
      <c r="L41" s="98">
        <v>1</v>
      </c>
      <c r="M41" s="305" t="s">
        <v>58</v>
      </c>
      <c r="N41" s="306"/>
    </row>
    <row r="42" spans="1:20" x14ac:dyDescent="0.15">
      <c r="A42" s="322"/>
      <c r="B42" s="319"/>
      <c r="C42" s="303"/>
      <c r="D42" s="98">
        <v>3</v>
      </c>
      <c r="E42" s="305" t="s">
        <v>386</v>
      </c>
      <c r="F42" s="305"/>
      <c r="G42" s="305"/>
      <c r="H42" s="305" t="s">
        <v>409</v>
      </c>
      <c r="I42" s="305"/>
      <c r="J42" s="305"/>
      <c r="K42" s="305"/>
      <c r="L42" s="98">
        <v>2</v>
      </c>
      <c r="M42" s="305" t="s">
        <v>56</v>
      </c>
      <c r="N42" s="306"/>
    </row>
    <row r="43" spans="1:20" ht="99.6" customHeight="1" thickBot="1" x14ac:dyDescent="0.2">
      <c r="A43" s="323"/>
      <c r="B43" s="328"/>
      <c r="C43" s="304"/>
      <c r="D43" s="103" t="s">
        <v>52</v>
      </c>
      <c r="E43" s="334" t="s">
        <v>556</v>
      </c>
      <c r="F43" s="334"/>
      <c r="G43" s="334"/>
      <c r="H43" s="334"/>
      <c r="I43" s="334"/>
      <c r="J43" s="334"/>
      <c r="K43" s="334"/>
      <c r="L43" s="334"/>
      <c r="M43" s="334"/>
      <c r="N43" s="335"/>
    </row>
    <row r="44" spans="1:20" ht="24" customHeight="1" x14ac:dyDescent="0.3">
      <c r="A44" s="329" t="s">
        <v>477</v>
      </c>
      <c r="B44" s="330" t="s">
        <v>500</v>
      </c>
      <c r="C44" s="330" t="s">
        <v>501</v>
      </c>
      <c r="D44" s="331" t="s">
        <v>519</v>
      </c>
      <c r="E44" s="332"/>
      <c r="F44" s="332"/>
      <c r="G44" s="332"/>
      <c r="H44" s="332"/>
      <c r="I44" s="332"/>
      <c r="J44" s="332"/>
      <c r="K44" s="332"/>
      <c r="L44" s="332"/>
      <c r="M44" s="332"/>
      <c r="N44" s="333"/>
    </row>
    <row r="45" spans="1:20" ht="15" customHeight="1" x14ac:dyDescent="0.15">
      <c r="A45" s="322"/>
      <c r="B45" s="303"/>
      <c r="C45" s="303"/>
      <c r="D45" s="305" t="s">
        <v>43</v>
      </c>
      <c r="E45" s="305"/>
      <c r="F45" s="305"/>
      <c r="G45" s="305"/>
      <c r="H45" s="305" t="s">
        <v>418</v>
      </c>
      <c r="I45" s="305"/>
      <c r="J45" s="305" t="s">
        <v>465</v>
      </c>
      <c r="K45" s="305"/>
      <c r="L45" s="97" t="s">
        <v>8</v>
      </c>
      <c r="M45" s="305" t="s">
        <v>55</v>
      </c>
      <c r="N45" s="306"/>
    </row>
    <row r="46" spans="1:20" x14ac:dyDescent="0.15">
      <c r="A46" s="322"/>
      <c r="B46" s="303"/>
      <c r="C46" s="303"/>
      <c r="D46" s="97">
        <v>1</v>
      </c>
      <c r="E46" s="305" t="s">
        <v>256</v>
      </c>
      <c r="F46" s="305"/>
      <c r="G46" s="305"/>
      <c r="H46" s="305" t="s">
        <v>224</v>
      </c>
      <c r="I46" s="305"/>
      <c r="J46" s="305"/>
      <c r="K46" s="305"/>
      <c r="L46" s="97">
        <v>1</v>
      </c>
      <c r="M46" s="305" t="s">
        <v>59</v>
      </c>
      <c r="N46" s="306"/>
      <c r="O46" s="104"/>
    </row>
    <row r="47" spans="1:20" ht="116.45" customHeight="1" x14ac:dyDescent="0.15">
      <c r="A47" s="322"/>
      <c r="B47" s="303"/>
      <c r="C47" s="303"/>
      <c r="D47" s="97" t="s">
        <v>52</v>
      </c>
      <c r="E47" s="310" t="s">
        <v>542</v>
      </c>
      <c r="F47" s="310"/>
      <c r="G47" s="310"/>
      <c r="H47" s="310"/>
      <c r="I47" s="310"/>
      <c r="J47" s="310"/>
      <c r="K47" s="310"/>
      <c r="L47" s="310"/>
      <c r="M47" s="310"/>
      <c r="N47" s="311"/>
      <c r="P47" s="105"/>
      <c r="Q47" s="105"/>
      <c r="R47" s="105"/>
      <c r="S47" s="105"/>
      <c r="T47" s="105"/>
    </row>
    <row r="48" spans="1:20" ht="24" customHeight="1" x14ac:dyDescent="0.3">
      <c r="A48" s="322"/>
      <c r="B48" s="303"/>
      <c r="C48" s="303"/>
      <c r="D48" s="316" t="s">
        <v>429</v>
      </c>
      <c r="E48" s="316"/>
      <c r="F48" s="316"/>
      <c r="G48" s="316"/>
      <c r="H48" s="316"/>
      <c r="I48" s="316"/>
      <c r="J48" s="316"/>
      <c r="K48" s="316"/>
      <c r="L48" s="316"/>
      <c r="M48" s="316"/>
      <c r="N48" s="317"/>
      <c r="O48" s="327"/>
    </row>
    <row r="49" spans="1:15" x14ac:dyDescent="0.15">
      <c r="A49" s="322"/>
      <c r="B49" s="303"/>
      <c r="C49" s="303"/>
      <c r="D49" s="305" t="s">
        <v>43</v>
      </c>
      <c r="E49" s="305"/>
      <c r="F49" s="305"/>
      <c r="G49" s="305"/>
      <c r="H49" s="305" t="s">
        <v>418</v>
      </c>
      <c r="I49" s="305"/>
      <c r="J49" s="305" t="s">
        <v>465</v>
      </c>
      <c r="K49" s="305"/>
      <c r="L49" s="97" t="s">
        <v>8</v>
      </c>
      <c r="M49" s="305" t="s">
        <v>55</v>
      </c>
      <c r="N49" s="306"/>
      <c r="O49" s="327"/>
    </row>
    <row r="50" spans="1:15" x14ac:dyDescent="0.15">
      <c r="A50" s="322"/>
      <c r="B50" s="303"/>
      <c r="C50" s="303"/>
      <c r="D50" s="97">
        <v>1</v>
      </c>
      <c r="E50" s="305" t="s">
        <v>305</v>
      </c>
      <c r="F50" s="305"/>
      <c r="G50" s="305"/>
      <c r="H50" s="305" t="s">
        <v>298</v>
      </c>
      <c r="I50" s="305"/>
      <c r="J50" s="305"/>
      <c r="K50" s="305"/>
      <c r="L50" s="97">
        <v>1</v>
      </c>
      <c r="M50" s="305" t="s">
        <v>56</v>
      </c>
      <c r="N50" s="306"/>
    </row>
    <row r="51" spans="1:15" ht="72" customHeight="1" x14ac:dyDescent="0.15">
      <c r="A51" s="322"/>
      <c r="B51" s="303"/>
      <c r="C51" s="303"/>
      <c r="D51" s="97" t="s">
        <v>52</v>
      </c>
      <c r="E51" s="310" t="s">
        <v>544</v>
      </c>
      <c r="F51" s="310"/>
      <c r="G51" s="310"/>
      <c r="H51" s="310"/>
      <c r="I51" s="310"/>
      <c r="J51" s="310"/>
      <c r="K51" s="310"/>
      <c r="L51" s="310"/>
      <c r="M51" s="310"/>
      <c r="N51" s="311"/>
    </row>
    <row r="52" spans="1:15" s="106" customFormat="1" ht="24" customHeight="1" x14ac:dyDescent="0.3">
      <c r="A52" s="322"/>
      <c r="B52" s="303"/>
      <c r="C52" s="303"/>
      <c r="D52" s="316" t="s">
        <v>474</v>
      </c>
      <c r="E52" s="316"/>
      <c r="F52" s="316"/>
      <c r="G52" s="316"/>
      <c r="H52" s="316"/>
      <c r="I52" s="316"/>
      <c r="J52" s="316"/>
      <c r="K52" s="316"/>
      <c r="L52" s="316"/>
      <c r="M52" s="316"/>
      <c r="N52" s="317"/>
      <c r="O52" s="327"/>
    </row>
    <row r="53" spans="1:15" x14ac:dyDescent="0.15">
      <c r="A53" s="322"/>
      <c r="B53" s="303"/>
      <c r="C53" s="303"/>
      <c r="D53" s="305" t="s">
        <v>43</v>
      </c>
      <c r="E53" s="305"/>
      <c r="F53" s="305"/>
      <c r="G53" s="305"/>
      <c r="H53" s="305" t="s">
        <v>418</v>
      </c>
      <c r="I53" s="305"/>
      <c r="J53" s="305" t="s">
        <v>465</v>
      </c>
      <c r="K53" s="305"/>
      <c r="L53" s="97" t="s">
        <v>8</v>
      </c>
      <c r="M53" s="305" t="s">
        <v>55</v>
      </c>
      <c r="N53" s="306"/>
      <c r="O53" s="327"/>
    </row>
    <row r="54" spans="1:15" x14ac:dyDescent="0.15">
      <c r="A54" s="322"/>
      <c r="B54" s="303"/>
      <c r="C54" s="303"/>
      <c r="D54" s="97">
        <v>1</v>
      </c>
      <c r="E54" s="305" t="s">
        <v>388</v>
      </c>
      <c r="F54" s="305"/>
      <c r="G54" s="305"/>
      <c r="H54" s="305" t="s">
        <v>411</v>
      </c>
      <c r="I54" s="305"/>
      <c r="J54" s="305"/>
      <c r="K54" s="305"/>
      <c r="L54" s="97">
        <v>1</v>
      </c>
      <c r="M54" s="305" t="s">
        <v>427</v>
      </c>
      <c r="N54" s="306"/>
      <c r="O54" s="327"/>
    </row>
    <row r="55" spans="1:15" x14ac:dyDescent="0.15">
      <c r="A55" s="322"/>
      <c r="B55" s="303"/>
      <c r="C55" s="303"/>
      <c r="D55" s="97">
        <v>2</v>
      </c>
      <c r="E55" s="305" t="s">
        <v>387</v>
      </c>
      <c r="F55" s="305"/>
      <c r="G55" s="305"/>
      <c r="H55" s="305" t="s">
        <v>410</v>
      </c>
      <c r="I55" s="305"/>
      <c r="J55" s="305"/>
      <c r="K55" s="305"/>
      <c r="L55" s="97">
        <v>1</v>
      </c>
      <c r="M55" s="305" t="s">
        <v>428</v>
      </c>
      <c r="N55" s="306"/>
    </row>
    <row r="56" spans="1:15" x14ac:dyDescent="0.15">
      <c r="A56" s="322"/>
      <c r="B56" s="303"/>
      <c r="C56" s="303"/>
      <c r="D56" s="97">
        <v>3</v>
      </c>
      <c r="E56" s="305" t="s">
        <v>386</v>
      </c>
      <c r="F56" s="305"/>
      <c r="G56" s="305"/>
      <c r="H56" s="305" t="s">
        <v>409</v>
      </c>
      <c r="I56" s="305"/>
      <c r="J56" s="305"/>
      <c r="K56" s="305"/>
      <c r="L56" s="97">
        <v>2</v>
      </c>
      <c r="M56" s="305" t="s">
        <v>56</v>
      </c>
      <c r="N56" s="306"/>
    </row>
    <row r="57" spans="1:15" ht="86.45" customHeight="1" x14ac:dyDescent="0.15">
      <c r="A57" s="322"/>
      <c r="B57" s="303"/>
      <c r="C57" s="320"/>
      <c r="D57" s="97" t="s">
        <v>52</v>
      </c>
      <c r="E57" s="310" t="s">
        <v>558</v>
      </c>
      <c r="F57" s="310"/>
      <c r="G57" s="310"/>
      <c r="H57" s="310"/>
      <c r="I57" s="310"/>
      <c r="J57" s="310"/>
      <c r="K57" s="310"/>
      <c r="L57" s="310"/>
      <c r="M57" s="310"/>
      <c r="N57" s="311"/>
    </row>
    <row r="58" spans="1:15" ht="24" customHeight="1" x14ac:dyDescent="0.3">
      <c r="A58" s="322"/>
      <c r="B58" s="303"/>
      <c r="C58" s="319" t="s">
        <v>502</v>
      </c>
      <c r="D58" s="313" t="s">
        <v>430</v>
      </c>
      <c r="E58" s="314"/>
      <c r="F58" s="314"/>
      <c r="G58" s="314"/>
      <c r="H58" s="314"/>
      <c r="I58" s="314"/>
      <c r="J58" s="314"/>
      <c r="K58" s="314"/>
      <c r="L58" s="314"/>
      <c r="M58" s="314"/>
      <c r="N58" s="315"/>
    </row>
    <row r="59" spans="1:15" x14ac:dyDescent="0.15">
      <c r="A59" s="322"/>
      <c r="B59" s="303"/>
      <c r="C59" s="319"/>
      <c r="D59" s="307" t="s">
        <v>43</v>
      </c>
      <c r="E59" s="308"/>
      <c r="F59" s="308"/>
      <c r="G59" s="309"/>
      <c r="H59" s="307" t="s">
        <v>418</v>
      </c>
      <c r="I59" s="309"/>
      <c r="J59" s="307" t="s">
        <v>465</v>
      </c>
      <c r="K59" s="309"/>
      <c r="L59" s="97" t="s">
        <v>8</v>
      </c>
      <c r="M59" s="307" t="s">
        <v>55</v>
      </c>
      <c r="N59" s="312"/>
    </row>
    <row r="60" spans="1:15" x14ac:dyDescent="0.15">
      <c r="A60" s="322"/>
      <c r="B60" s="303"/>
      <c r="C60" s="319"/>
      <c r="D60" s="97">
        <v>1</v>
      </c>
      <c r="E60" s="307" t="s">
        <v>304</v>
      </c>
      <c r="F60" s="308"/>
      <c r="G60" s="309"/>
      <c r="H60" s="307" t="s">
        <v>426</v>
      </c>
      <c r="I60" s="309"/>
      <c r="J60" s="307"/>
      <c r="K60" s="309"/>
      <c r="L60" s="97">
        <v>1</v>
      </c>
      <c r="M60" s="307" t="s">
        <v>56</v>
      </c>
      <c r="N60" s="312"/>
    </row>
    <row r="61" spans="1:15" ht="63" customHeight="1" thickBot="1" x14ac:dyDescent="0.2">
      <c r="A61" s="322"/>
      <c r="B61" s="320"/>
      <c r="C61" s="319"/>
      <c r="D61" s="97" t="s">
        <v>52</v>
      </c>
      <c r="E61" s="336" t="s">
        <v>541</v>
      </c>
      <c r="F61" s="337"/>
      <c r="G61" s="337"/>
      <c r="H61" s="337"/>
      <c r="I61" s="337"/>
      <c r="J61" s="337"/>
      <c r="K61" s="337"/>
      <c r="L61" s="337"/>
      <c r="M61" s="337"/>
      <c r="N61" s="338"/>
    </row>
    <row r="62" spans="1:15" ht="24" customHeight="1" x14ac:dyDescent="0.3">
      <c r="A62" s="322"/>
      <c r="B62" s="302" t="s">
        <v>503</v>
      </c>
      <c r="C62" s="319"/>
      <c r="D62" s="331" t="s">
        <v>519</v>
      </c>
      <c r="E62" s="332"/>
      <c r="F62" s="332"/>
      <c r="G62" s="332"/>
      <c r="H62" s="332"/>
      <c r="I62" s="332"/>
      <c r="J62" s="332"/>
      <c r="K62" s="332"/>
      <c r="L62" s="332"/>
      <c r="M62" s="332"/>
      <c r="N62" s="333"/>
    </row>
    <row r="63" spans="1:15" x14ac:dyDescent="0.15">
      <c r="A63" s="322"/>
      <c r="B63" s="303"/>
      <c r="C63" s="319"/>
      <c r="D63" s="305" t="s">
        <v>43</v>
      </c>
      <c r="E63" s="305"/>
      <c r="F63" s="305"/>
      <c r="G63" s="305"/>
      <c r="H63" s="305" t="s">
        <v>418</v>
      </c>
      <c r="I63" s="305"/>
      <c r="J63" s="305" t="s">
        <v>465</v>
      </c>
      <c r="K63" s="305"/>
      <c r="L63" s="111" t="s">
        <v>8</v>
      </c>
      <c r="M63" s="305" t="s">
        <v>55</v>
      </c>
      <c r="N63" s="306"/>
    </row>
    <row r="64" spans="1:15" x14ac:dyDescent="0.15">
      <c r="A64" s="322"/>
      <c r="B64" s="303"/>
      <c r="C64" s="319"/>
      <c r="D64" s="111">
        <v>1</v>
      </c>
      <c r="E64" s="305" t="s">
        <v>256</v>
      </c>
      <c r="F64" s="305"/>
      <c r="G64" s="305"/>
      <c r="H64" s="305" t="s">
        <v>224</v>
      </c>
      <c r="I64" s="305"/>
      <c r="J64" s="305"/>
      <c r="K64" s="305"/>
      <c r="L64" s="111">
        <v>1</v>
      </c>
      <c r="M64" s="305" t="s">
        <v>59</v>
      </c>
      <c r="N64" s="306"/>
    </row>
    <row r="65" spans="1:14" ht="88.9" customHeight="1" x14ac:dyDescent="0.15">
      <c r="A65" s="322"/>
      <c r="B65" s="303"/>
      <c r="C65" s="319"/>
      <c r="D65" s="111" t="s">
        <v>52</v>
      </c>
      <c r="E65" s="310" t="s">
        <v>542</v>
      </c>
      <c r="F65" s="310"/>
      <c r="G65" s="310"/>
      <c r="H65" s="310"/>
      <c r="I65" s="310"/>
      <c r="J65" s="310"/>
      <c r="K65" s="310"/>
      <c r="L65" s="310"/>
      <c r="M65" s="310"/>
      <c r="N65" s="311"/>
    </row>
    <row r="66" spans="1:14" ht="24" customHeight="1" x14ac:dyDescent="0.3">
      <c r="A66" s="322"/>
      <c r="B66" s="303"/>
      <c r="C66" s="319"/>
      <c r="D66" s="316" t="s">
        <v>429</v>
      </c>
      <c r="E66" s="316"/>
      <c r="F66" s="316"/>
      <c r="G66" s="316"/>
      <c r="H66" s="316"/>
      <c r="I66" s="316"/>
      <c r="J66" s="316"/>
      <c r="K66" s="316"/>
      <c r="L66" s="316"/>
      <c r="M66" s="316"/>
      <c r="N66" s="317"/>
    </row>
    <row r="67" spans="1:14" x14ac:dyDescent="0.15">
      <c r="A67" s="322"/>
      <c r="B67" s="303"/>
      <c r="C67" s="319"/>
      <c r="D67" s="305" t="s">
        <v>517</v>
      </c>
      <c r="E67" s="305"/>
      <c r="F67" s="305"/>
      <c r="G67" s="305"/>
      <c r="H67" s="305" t="s">
        <v>418</v>
      </c>
      <c r="I67" s="305"/>
      <c r="J67" s="305" t="s">
        <v>465</v>
      </c>
      <c r="K67" s="305"/>
      <c r="L67" s="97" t="s">
        <v>8</v>
      </c>
      <c r="M67" s="305" t="s">
        <v>55</v>
      </c>
      <c r="N67" s="306"/>
    </row>
    <row r="68" spans="1:14" x14ac:dyDescent="0.15">
      <c r="A68" s="322"/>
      <c r="B68" s="303"/>
      <c r="C68" s="319"/>
      <c r="D68" s="97">
        <v>1</v>
      </c>
      <c r="E68" s="305" t="s">
        <v>305</v>
      </c>
      <c r="F68" s="305"/>
      <c r="G68" s="305"/>
      <c r="H68" s="305" t="s">
        <v>298</v>
      </c>
      <c r="I68" s="305"/>
      <c r="J68" s="305"/>
      <c r="K68" s="305"/>
      <c r="L68" s="97">
        <v>1</v>
      </c>
      <c r="M68" s="305" t="s">
        <v>56</v>
      </c>
      <c r="N68" s="306"/>
    </row>
    <row r="69" spans="1:14" ht="55.15" customHeight="1" thickBot="1" x14ac:dyDescent="0.2">
      <c r="A69" s="323"/>
      <c r="B69" s="304"/>
      <c r="C69" s="328"/>
      <c r="D69" s="103" t="s">
        <v>52</v>
      </c>
      <c r="E69" s="334" t="s">
        <v>543</v>
      </c>
      <c r="F69" s="334"/>
      <c r="G69" s="334"/>
      <c r="H69" s="334"/>
      <c r="I69" s="334"/>
      <c r="J69" s="334"/>
      <c r="K69" s="334"/>
      <c r="L69" s="334"/>
      <c r="M69" s="334"/>
      <c r="N69" s="335"/>
    </row>
    <row r="70" spans="1:14" x14ac:dyDescent="0.15">
      <c r="A70" s="107" t="s">
        <v>475</v>
      </c>
      <c r="C70" s="108"/>
      <c r="D70" s="108"/>
      <c r="E70" s="108"/>
      <c r="F70" s="108"/>
      <c r="G70" s="108"/>
      <c r="H70" s="108"/>
      <c r="I70" s="108"/>
      <c r="J70" s="108"/>
      <c r="K70" s="108"/>
      <c r="L70" s="108"/>
      <c r="M70" s="108"/>
      <c r="N70" s="109"/>
    </row>
    <row r="71" spans="1:14" x14ac:dyDescent="0.15">
      <c r="A71" s="107" t="s">
        <v>476</v>
      </c>
      <c r="C71" s="108"/>
      <c r="D71" s="108"/>
      <c r="E71" s="108"/>
      <c r="F71" s="108"/>
      <c r="G71" s="108"/>
      <c r="H71" s="108"/>
      <c r="I71" s="108"/>
      <c r="J71" s="108"/>
      <c r="K71" s="108"/>
      <c r="L71" s="108"/>
      <c r="M71" s="108"/>
      <c r="N71" s="109"/>
    </row>
    <row r="72" spans="1:14" x14ac:dyDescent="0.15">
      <c r="A72" s="107" t="s">
        <v>504</v>
      </c>
    </row>
  </sheetData>
  <mergeCells count="207">
    <mergeCell ref="H20:I20"/>
    <mergeCell ref="J19:K19"/>
    <mergeCell ref="J20:K20"/>
    <mergeCell ref="M19:N19"/>
    <mergeCell ref="M20:N20"/>
    <mergeCell ref="E36:G36"/>
    <mergeCell ref="H36:I36"/>
    <mergeCell ref="D35:G35"/>
    <mergeCell ref="D30:G30"/>
    <mergeCell ref="M24:N24"/>
    <mergeCell ref="H24:I24"/>
    <mergeCell ref="H25:I25"/>
    <mergeCell ref="J26:K26"/>
    <mergeCell ref="H26:I26"/>
    <mergeCell ref="H27:I27"/>
    <mergeCell ref="M26:N26"/>
    <mergeCell ref="M27:N27"/>
    <mergeCell ref="M25:N25"/>
    <mergeCell ref="H31:I31"/>
    <mergeCell ref="M31:N31"/>
    <mergeCell ref="E31:G31"/>
    <mergeCell ref="D24:G24"/>
    <mergeCell ref="M36:N36"/>
    <mergeCell ref="E32:G32"/>
    <mergeCell ref="D2:N2"/>
    <mergeCell ref="D3:G3"/>
    <mergeCell ref="H3:I3"/>
    <mergeCell ref="J3:K3"/>
    <mergeCell ref="M3:N3"/>
    <mergeCell ref="E4:G4"/>
    <mergeCell ref="D23:N23"/>
    <mergeCell ref="H35:I35"/>
    <mergeCell ref="J35:K35"/>
    <mergeCell ref="M35:N35"/>
    <mergeCell ref="J30:K30"/>
    <mergeCell ref="J31:K31"/>
    <mergeCell ref="J32:K32"/>
    <mergeCell ref="J27:K27"/>
    <mergeCell ref="J24:K24"/>
    <mergeCell ref="J25:K25"/>
    <mergeCell ref="D29:N29"/>
    <mergeCell ref="D34:N34"/>
    <mergeCell ref="E25:G25"/>
    <mergeCell ref="H30:I30"/>
    <mergeCell ref="E19:G19"/>
    <mergeCell ref="E20:G20"/>
    <mergeCell ref="H19:I19"/>
    <mergeCell ref="E33:N33"/>
    <mergeCell ref="H32:I32"/>
    <mergeCell ref="M32:N32"/>
    <mergeCell ref="E47:N47"/>
    <mergeCell ref="E51:N51"/>
    <mergeCell ref="J56:K56"/>
    <mergeCell ref="H54:I54"/>
    <mergeCell ref="M40:N40"/>
    <mergeCell ref="M41:N41"/>
    <mergeCell ref="D39:G39"/>
    <mergeCell ref="J36:K36"/>
    <mergeCell ref="E37:N37"/>
    <mergeCell ref="E50:G50"/>
    <mergeCell ref="M49:N49"/>
    <mergeCell ref="H50:I50"/>
    <mergeCell ref="M50:N50"/>
    <mergeCell ref="H49:I49"/>
    <mergeCell ref="H46:I46"/>
    <mergeCell ref="E42:G42"/>
    <mergeCell ref="J40:K40"/>
    <mergeCell ref="J41:K41"/>
    <mergeCell ref="M46:N46"/>
    <mergeCell ref="J46:K46"/>
    <mergeCell ref="H42:I42"/>
    <mergeCell ref="J42:K42"/>
    <mergeCell ref="M42:N42"/>
    <mergeCell ref="E54:G54"/>
    <mergeCell ref="E55:G55"/>
    <mergeCell ref="H45:I45"/>
    <mergeCell ref="E46:G46"/>
    <mergeCell ref="M45:N45"/>
    <mergeCell ref="J45:K45"/>
    <mergeCell ref="J49:K49"/>
    <mergeCell ref="J50:K50"/>
    <mergeCell ref="D48:N48"/>
    <mergeCell ref="M55:N55"/>
    <mergeCell ref="H55:I55"/>
    <mergeCell ref="D67:G67"/>
    <mergeCell ref="E61:N61"/>
    <mergeCell ref="E57:N57"/>
    <mergeCell ref="M53:N53"/>
    <mergeCell ref="M54:N54"/>
    <mergeCell ref="D62:N62"/>
    <mergeCell ref="D63:G63"/>
    <mergeCell ref="H63:I63"/>
    <mergeCell ref="J63:K63"/>
    <mergeCell ref="M63:N63"/>
    <mergeCell ref="E64:G64"/>
    <mergeCell ref="H53:I53"/>
    <mergeCell ref="J53:K53"/>
    <mergeCell ref="J54:K54"/>
    <mergeCell ref="J55:K55"/>
    <mergeCell ref="E56:G56"/>
    <mergeCell ref="M56:N56"/>
    <mergeCell ref="H56:I56"/>
    <mergeCell ref="E65:N65"/>
    <mergeCell ref="O48:O49"/>
    <mergeCell ref="O52:O54"/>
    <mergeCell ref="C58:C69"/>
    <mergeCell ref="B38:B43"/>
    <mergeCell ref="A44:A69"/>
    <mergeCell ref="B44:B61"/>
    <mergeCell ref="C44:C57"/>
    <mergeCell ref="D44:N44"/>
    <mergeCell ref="D59:G59"/>
    <mergeCell ref="D53:G53"/>
    <mergeCell ref="D49:G49"/>
    <mergeCell ref="D45:G45"/>
    <mergeCell ref="E43:N43"/>
    <mergeCell ref="E40:G40"/>
    <mergeCell ref="E41:G41"/>
    <mergeCell ref="H40:I40"/>
    <mergeCell ref="H41:I41"/>
    <mergeCell ref="E69:N69"/>
    <mergeCell ref="D38:N38"/>
    <mergeCell ref="H39:I39"/>
    <mergeCell ref="J39:K39"/>
    <mergeCell ref="M39:N39"/>
    <mergeCell ref="C23:C43"/>
    <mergeCell ref="E68:G68"/>
    <mergeCell ref="H4:I4"/>
    <mergeCell ref="J4:K4"/>
    <mergeCell ref="M4:N4"/>
    <mergeCell ref="E7:G7"/>
    <mergeCell ref="H7:I7"/>
    <mergeCell ref="J7:K7"/>
    <mergeCell ref="M7:N7"/>
    <mergeCell ref="E8:G8"/>
    <mergeCell ref="H8:I8"/>
    <mergeCell ref="J8:K8"/>
    <mergeCell ref="M8:N8"/>
    <mergeCell ref="E9:N9"/>
    <mergeCell ref="E15:G15"/>
    <mergeCell ref="H15:I15"/>
    <mergeCell ref="J15:K15"/>
    <mergeCell ref="M15:N15"/>
    <mergeCell ref="E16:N16"/>
    <mergeCell ref="D17:N17"/>
    <mergeCell ref="D18:G18"/>
    <mergeCell ref="H18:I18"/>
    <mergeCell ref="J18:K18"/>
    <mergeCell ref="M18:N18"/>
    <mergeCell ref="D10:N10"/>
    <mergeCell ref="M14:N14"/>
    <mergeCell ref="J14:K14"/>
    <mergeCell ref="H14:I14"/>
    <mergeCell ref="E14:G14"/>
    <mergeCell ref="H13:I13"/>
    <mergeCell ref="M11:N11"/>
    <mergeCell ref="J11:K11"/>
    <mergeCell ref="H11:I11"/>
    <mergeCell ref="D11:G11"/>
    <mergeCell ref="A1:N1"/>
    <mergeCell ref="C3:C22"/>
    <mergeCell ref="E21:G21"/>
    <mergeCell ref="H21:I21"/>
    <mergeCell ref="J21:K21"/>
    <mergeCell ref="M21:N21"/>
    <mergeCell ref="E22:N22"/>
    <mergeCell ref="B3:B37"/>
    <mergeCell ref="A3:A43"/>
    <mergeCell ref="E5:G5"/>
    <mergeCell ref="E6:G6"/>
    <mergeCell ref="H5:I5"/>
    <mergeCell ref="H6:I6"/>
    <mergeCell ref="J5:K5"/>
    <mergeCell ref="J6:K6"/>
    <mergeCell ref="M5:N5"/>
    <mergeCell ref="M6:N6"/>
    <mergeCell ref="J12:K12"/>
    <mergeCell ref="M12:N12"/>
    <mergeCell ref="J13:K13"/>
    <mergeCell ref="M13:N13"/>
    <mergeCell ref="E12:G12"/>
    <mergeCell ref="H12:I12"/>
    <mergeCell ref="E13:G13"/>
    <mergeCell ref="B62:B69"/>
    <mergeCell ref="H68:I68"/>
    <mergeCell ref="J68:K68"/>
    <mergeCell ref="M68:N68"/>
    <mergeCell ref="E60:G60"/>
    <mergeCell ref="E28:N28"/>
    <mergeCell ref="E26:G26"/>
    <mergeCell ref="E27:G27"/>
    <mergeCell ref="M30:N30"/>
    <mergeCell ref="M60:N60"/>
    <mergeCell ref="J60:K60"/>
    <mergeCell ref="H60:I60"/>
    <mergeCell ref="J59:K59"/>
    <mergeCell ref="H64:I64"/>
    <mergeCell ref="J64:K64"/>
    <mergeCell ref="M64:N64"/>
    <mergeCell ref="D58:N58"/>
    <mergeCell ref="D52:N52"/>
    <mergeCell ref="D66:N66"/>
    <mergeCell ref="H67:I67"/>
    <mergeCell ref="J67:K67"/>
    <mergeCell ref="M67:N67"/>
    <mergeCell ref="M59:N59"/>
    <mergeCell ref="H59:I59"/>
  </mergeCells>
  <phoneticPr fontId="1"/>
  <printOptions horizontalCentered="1"/>
  <pageMargins left="0.7" right="0.7" top="0.75" bottom="0.75" header="0.3" footer="0.3"/>
  <pageSetup paperSize="9" scale="74" orientation="portrait" r:id="rId1"/>
  <rowBreaks count="3" manualBreakCount="3">
    <brk id="2" max="13" man="1"/>
    <brk id="12" max="16383" man="1"/>
    <brk id="43" max="13" man="1"/>
  </rowBreaks>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F44"/>
  <sheetViews>
    <sheetView zoomScale="90" zoomScaleNormal="90" workbookViewId="0">
      <selection activeCell="E48" sqref="E48"/>
    </sheetView>
  </sheetViews>
  <sheetFormatPr defaultColWidth="8.875" defaultRowHeight="15.75" x14ac:dyDescent="0.15"/>
  <cols>
    <col min="1" max="1" width="5.5" style="139" customWidth="1"/>
    <col min="2" max="2" width="23.5" style="122" bestFit="1" customWidth="1"/>
    <col min="3" max="3" width="25.875" style="122" bestFit="1" customWidth="1"/>
    <col min="4" max="4" width="26.625" style="121" bestFit="1" customWidth="1"/>
    <col min="5" max="5" width="67.875" style="121" bestFit="1" customWidth="1"/>
    <col min="6" max="6" width="36.875" style="125" customWidth="1"/>
    <col min="7" max="16384" width="8.875" style="125"/>
  </cols>
  <sheetData>
    <row r="1" spans="1:6" ht="30.75" thickBot="1" x14ac:dyDescent="0.2">
      <c r="A1" s="349" t="s">
        <v>513</v>
      </c>
      <c r="B1" s="349"/>
      <c r="C1" s="349"/>
      <c r="D1" s="349"/>
      <c r="E1" s="349"/>
      <c r="F1" s="349"/>
    </row>
    <row r="2" spans="1:6" ht="19.5" x14ac:dyDescent="0.15">
      <c r="A2" s="142" t="s">
        <v>496</v>
      </c>
      <c r="B2" s="143" t="s">
        <v>509</v>
      </c>
      <c r="C2" s="143" t="s">
        <v>510</v>
      </c>
      <c r="D2" s="143" t="s">
        <v>511</v>
      </c>
      <c r="E2" s="143" t="s">
        <v>512</v>
      </c>
      <c r="F2" s="144" t="s">
        <v>559</v>
      </c>
    </row>
    <row r="3" spans="1:6" ht="47.25" x14ac:dyDescent="0.15">
      <c r="A3" s="345" t="s">
        <v>498</v>
      </c>
      <c r="B3" s="341" t="s">
        <v>480</v>
      </c>
      <c r="C3" s="341" t="s">
        <v>486</v>
      </c>
      <c r="D3" s="129" t="s">
        <v>482</v>
      </c>
      <c r="E3" s="140" t="s">
        <v>581</v>
      </c>
      <c r="F3" s="128" t="s">
        <v>585</v>
      </c>
    </row>
    <row r="4" spans="1:6" ht="31.5" x14ac:dyDescent="0.15">
      <c r="A4" s="345"/>
      <c r="B4" s="341"/>
      <c r="C4" s="341"/>
      <c r="D4" s="129" t="s">
        <v>483</v>
      </c>
      <c r="E4" s="140" t="s">
        <v>578</v>
      </c>
      <c r="F4" s="128" t="s">
        <v>562</v>
      </c>
    </row>
    <row r="5" spans="1:6" ht="31.5" x14ac:dyDescent="0.15">
      <c r="A5" s="345"/>
      <c r="B5" s="341"/>
      <c r="C5" s="341"/>
      <c r="D5" s="129" t="s">
        <v>491</v>
      </c>
      <c r="E5" s="140" t="s">
        <v>522</v>
      </c>
      <c r="F5" s="131" t="s">
        <v>561</v>
      </c>
    </row>
    <row r="6" spans="1:6" x14ac:dyDescent="0.15">
      <c r="A6" s="345"/>
      <c r="B6" s="341"/>
      <c r="C6" s="341"/>
      <c r="D6" s="129" t="s">
        <v>484</v>
      </c>
      <c r="E6" s="129" t="s">
        <v>506</v>
      </c>
      <c r="F6" s="131" t="s">
        <v>561</v>
      </c>
    </row>
    <row r="7" spans="1:6" ht="47.25" x14ac:dyDescent="0.15">
      <c r="A7" s="345"/>
      <c r="B7" s="341"/>
      <c r="C7" s="341" t="s">
        <v>487</v>
      </c>
      <c r="D7" s="129" t="s">
        <v>482</v>
      </c>
      <c r="E7" s="140" t="s">
        <v>583</v>
      </c>
      <c r="F7" s="128" t="s">
        <v>582</v>
      </c>
    </row>
    <row r="8" spans="1:6" ht="31.5" x14ac:dyDescent="0.15">
      <c r="A8" s="345"/>
      <c r="B8" s="341"/>
      <c r="C8" s="341"/>
      <c r="D8" s="129" t="s">
        <v>483</v>
      </c>
      <c r="E8" s="140" t="s">
        <v>521</v>
      </c>
      <c r="F8" s="128" t="s">
        <v>562</v>
      </c>
    </row>
    <row r="9" spans="1:6" ht="31.5" x14ac:dyDescent="0.15">
      <c r="A9" s="345"/>
      <c r="B9" s="341"/>
      <c r="C9" s="341"/>
      <c r="D9" s="129" t="s">
        <v>491</v>
      </c>
      <c r="E9" s="140" t="s">
        <v>522</v>
      </c>
      <c r="F9" s="131" t="s">
        <v>561</v>
      </c>
    </row>
    <row r="10" spans="1:6" x14ac:dyDescent="0.15">
      <c r="A10" s="345"/>
      <c r="B10" s="341"/>
      <c r="C10" s="341"/>
      <c r="D10" s="129" t="s">
        <v>484</v>
      </c>
      <c r="E10" s="129" t="s">
        <v>506</v>
      </c>
      <c r="F10" s="131" t="s">
        <v>561</v>
      </c>
    </row>
    <row r="11" spans="1:6" ht="49.9" customHeight="1" x14ac:dyDescent="0.15">
      <c r="A11" s="345"/>
      <c r="B11" s="341" t="s">
        <v>488</v>
      </c>
      <c r="C11" s="341" t="s">
        <v>486</v>
      </c>
      <c r="D11" s="129" t="s">
        <v>482</v>
      </c>
      <c r="E11" s="141" t="s">
        <v>584</v>
      </c>
      <c r="F11" s="131" t="s">
        <v>560</v>
      </c>
    </row>
    <row r="12" spans="1:6" ht="51.6" customHeight="1" x14ac:dyDescent="0.15">
      <c r="A12" s="345"/>
      <c r="B12" s="341"/>
      <c r="C12" s="341"/>
      <c r="D12" s="129" t="s">
        <v>485</v>
      </c>
      <c r="E12" s="141" t="s">
        <v>579</v>
      </c>
      <c r="F12" s="131" t="s">
        <v>561</v>
      </c>
    </row>
    <row r="13" spans="1:6" ht="17.45" customHeight="1" x14ac:dyDescent="0.15">
      <c r="A13" s="345"/>
      <c r="B13" s="341"/>
      <c r="C13" s="133" t="s">
        <v>487</v>
      </c>
      <c r="D13" s="343" t="s">
        <v>481</v>
      </c>
      <c r="E13" s="343"/>
      <c r="F13" s="131"/>
    </row>
    <row r="14" spans="1:6" ht="39" customHeight="1" thickBot="1" x14ac:dyDescent="0.2">
      <c r="A14" s="346"/>
      <c r="B14" s="134" t="s">
        <v>489</v>
      </c>
      <c r="C14" s="135" t="s">
        <v>481</v>
      </c>
      <c r="D14" s="342"/>
      <c r="E14" s="342"/>
      <c r="F14" s="136"/>
    </row>
    <row r="15" spans="1:6" ht="47.25" x14ac:dyDescent="0.15">
      <c r="A15" s="344" t="s">
        <v>497</v>
      </c>
      <c r="B15" s="351" t="s">
        <v>480</v>
      </c>
      <c r="C15" s="355" t="s">
        <v>495</v>
      </c>
      <c r="D15" s="126" t="s">
        <v>472</v>
      </c>
      <c r="E15" s="127" t="s">
        <v>566</v>
      </c>
      <c r="F15" s="137" t="s">
        <v>564</v>
      </c>
    </row>
    <row r="16" spans="1:6" ht="47.25" x14ac:dyDescent="0.15">
      <c r="A16" s="345"/>
      <c r="B16" s="351"/>
      <c r="C16" s="356"/>
      <c r="D16" s="129" t="s">
        <v>492</v>
      </c>
      <c r="E16" s="130" t="s">
        <v>567</v>
      </c>
      <c r="F16" s="137" t="s">
        <v>564</v>
      </c>
    </row>
    <row r="17" spans="1:6" ht="31.5" x14ac:dyDescent="0.15">
      <c r="A17" s="345"/>
      <c r="B17" s="351"/>
      <c r="C17" s="356"/>
      <c r="D17" s="129" t="s">
        <v>470</v>
      </c>
      <c r="E17" s="130" t="s">
        <v>565</v>
      </c>
      <c r="F17" s="131" t="s">
        <v>455</v>
      </c>
    </row>
    <row r="18" spans="1:6" x14ac:dyDescent="0.15">
      <c r="A18" s="345"/>
      <c r="B18" s="351"/>
      <c r="C18" s="356"/>
      <c r="D18" s="129" t="s">
        <v>484</v>
      </c>
      <c r="E18" s="132" t="s">
        <v>466</v>
      </c>
      <c r="F18" s="131" t="s">
        <v>561</v>
      </c>
    </row>
    <row r="19" spans="1:6" ht="47.25" x14ac:dyDescent="0.15">
      <c r="A19" s="345"/>
      <c r="B19" s="351"/>
      <c r="C19" s="356" t="s">
        <v>494</v>
      </c>
      <c r="D19" s="129" t="s">
        <v>471</v>
      </c>
      <c r="E19" s="130" t="s">
        <v>566</v>
      </c>
      <c r="F19" s="137" t="s">
        <v>564</v>
      </c>
    </row>
    <row r="20" spans="1:6" ht="47.25" x14ac:dyDescent="0.15">
      <c r="A20" s="345"/>
      <c r="B20" s="351"/>
      <c r="C20" s="356"/>
      <c r="D20" s="129" t="s">
        <v>493</v>
      </c>
      <c r="E20" s="130" t="s">
        <v>567</v>
      </c>
      <c r="F20" s="137" t="s">
        <v>564</v>
      </c>
    </row>
    <row r="21" spans="1:6" ht="31.5" x14ac:dyDescent="0.15">
      <c r="A21" s="345"/>
      <c r="B21" s="351"/>
      <c r="C21" s="356"/>
      <c r="D21" s="129" t="s">
        <v>470</v>
      </c>
      <c r="E21" s="130" t="s">
        <v>540</v>
      </c>
      <c r="F21" s="131" t="s">
        <v>561</v>
      </c>
    </row>
    <row r="22" spans="1:6" x14ac:dyDescent="0.15">
      <c r="A22" s="345"/>
      <c r="B22" s="351"/>
      <c r="C22" s="356"/>
      <c r="D22" s="129" t="s">
        <v>484</v>
      </c>
      <c r="E22" s="132" t="s">
        <v>466</v>
      </c>
      <c r="F22" s="131" t="s">
        <v>561</v>
      </c>
    </row>
    <row r="23" spans="1:6" x14ac:dyDescent="0.15">
      <c r="A23" s="345"/>
      <c r="B23" s="351"/>
      <c r="C23" s="350" t="s">
        <v>499</v>
      </c>
      <c r="D23" s="129" t="s">
        <v>471</v>
      </c>
      <c r="E23" s="130" t="s">
        <v>490</v>
      </c>
      <c r="F23" s="131" t="s">
        <v>561</v>
      </c>
    </row>
    <row r="24" spans="1:6" x14ac:dyDescent="0.15">
      <c r="A24" s="345"/>
      <c r="B24" s="352"/>
      <c r="C24" s="352"/>
      <c r="D24" s="129" t="s">
        <v>491</v>
      </c>
      <c r="E24" s="130" t="s">
        <v>505</v>
      </c>
      <c r="F24" s="131" t="s">
        <v>561</v>
      </c>
    </row>
    <row r="25" spans="1:6" ht="47.25" x14ac:dyDescent="0.15">
      <c r="A25" s="345"/>
      <c r="B25" s="350" t="s">
        <v>469</v>
      </c>
      <c r="C25" s="341" t="s">
        <v>486</v>
      </c>
      <c r="D25" s="129" t="s">
        <v>471</v>
      </c>
      <c r="E25" s="130" t="s">
        <v>566</v>
      </c>
      <c r="F25" s="137" t="s">
        <v>564</v>
      </c>
    </row>
    <row r="26" spans="1:6" ht="47.25" x14ac:dyDescent="0.15">
      <c r="A26" s="345"/>
      <c r="B26" s="351"/>
      <c r="C26" s="341"/>
      <c r="D26" s="129" t="s">
        <v>493</v>
      </c>
      <c r="E26" s="130" t="s">
        <v>567</v>
      </c>
      <c r="F26" s="137" t="s">
        <v>564</v>
      </c>
    </row>
    <row r="27" spans="1:6" ht="31.5" x14ac:dyDescent="0.15">
      <c r="A27" s="345"/>
      <c r="B27" s="351"/>
      <c r="C27" s="341"/>
      <c r="D27" s="129" t="s">
        <v>470</v>
      </c>
      <c r="E27" s="130" t="s">
        <v>540</v>
      </c>
      <c r="F27" s="131" t="s">
        <v>561</v>
      </c>
    </row>
    <row r="28" spans="1:6" x14ac:dyDescent="0.15">
      <c r="A28" s="345"/>
      <c r="B28" s="351"/>
      <c r="C28" s="341"/>
      <c r="D28" s="129" t="s">
        <v>484</v>
      </c>
      <c r="E28" s="130" t="s">
        <v>466</v>
      </c>
      <c r="F28" s="131" t="s">
        <v>561</v>
      </c>
    </row>
    <row r="29" spans="1:6" ht="47.25" x14ac:dyDescent="0.15">
      <c r="A29" s="345"/>
      <c r="B29" s="351"/>
      <c r="C29" s="353" t="s">
        <v>494</v>
      </c>
      <c r="D29" s="129" t="s">
        <v>471</v>
      </c>
      <c r="E29" s="130" t="s">
        <v>566</v>
      </c>
      <c r="F29" s="137" t="s">
        <v>564</v>
      </c>
    </row>
    <row r="30" spans="1:6" ht="47.25" x14ac:dyDescent="0.15">
      <c r="A30" s="345"/>
      <c r="B30" s="351"/>
      <c r="C30" s="354"/>
      <c r="D30" s="129" t="s">
        <v>493</v>
      </c>
      <c r="E30" s="130" t="s">
        <v>567</v>
      </c>
      <c r="F30" s="137" t="s">
        <v>564</v>
      </c>
    </row>
    <row r="31" spans="1:6" ht="31.5" x14ac:dyDescent="0.15">
      <c r="A31" s="345"/>
      <c r="B31" s="351"/>
      <c r="C31" s="354"/>
      <c r="D31" s="129" t="s">
        <v>470</v>
      </c>
      <c r="E31" s="130" t="s">
        <v>540</v>
      </c>
      <c r="F31" s="131" t="s">
        <v>561</v>
      </c>
    </row>
    <row r="32" spans="1:6" x14ac:dyDescent="0.15">
      <c r="A32" s="345"/>
      <c r="B32" s="352"/>
      <c r="C32" s="355"/>
      <c r="D32" s="129" t="s">
        <v>484</v>
      </c>
      <c r="E32" s="132" t="s">
        <v>466</v>
      </c>
      <c r="F32" s="131" t="s">
        <v>561</v>
      </c>
    </row>
    <row r="33" spans="1:6" ht="39.6" customHeight="1" thickBot="1" x14ac:dyDescent="0.2">
      <c r="A33" s="346"/>
      <c r="B33" s="134" t="s">
        <v>468</v>
      </c>
      <c r="C33" s="135" t="s">
        <v>481</v>
      </c>
      <c r="D33" s="347"/>
      <c r="E33" s="348"/>
      <c r="F33" s="136"/>
    </row>
    <row r="34" spans="1:6" x14ac:dyDescent="0.15">
      <c r="A34" s="138" t="s">
        <v>507</v>
      </c>
    </row>
    <row r="35" spans="1:6" x14ac:dyDescent="0.15">
      <c r="A35" s="138" t="s">
        <v>508</v>
      </c>
    </row>
    <row r="36" spans="1:6" x14ac:dyDescent="0.15">
      <c r="A36" s="138" t="s">
        <v>563</v>
      </c>
    </row>
    <row r="37" spans="1:6" x14ac:dyDescent="0.15">
      <c r="A37" s="138" t="s">
        <v>599</v>
      </c>
    </row>
    <row r="38" spans="1:6" x14ac:dyDescent="0.15">
      <c r="A38" s="138"/>
    </row>
    <row r="39" spans="1:6" x14ac:dyDescent="0.15">
      <c r="A39" s="138"/>
    </row>
    <row r="40" spans="1:6" x14ac:dyDescent="0.15">
      <c r="A40" s="138"/>
    </row>
    <row r="41" spans="1:6" x14ac:dyDescent="0.15">
      <c r="A41" s="138"/>
    </row>
    <row r="42" spans="1:6" x14ac:dyDescent="0.15">
      <c r="A42" s="138"/>
    </row>
    <row r="43" spans="1:6" x14ac:dyDescent="0.15">
      <c r="A43" s="138"/>
    </row>
    <row r="44" spans="1:6" x14ac:dyDescent="0.15">
      <c r="A44" s="138"/>
    </row>
  </sheetData>
  <mergeCells count="18">
    <mergeCell ref="A1:F1"/>
    <mergeCell ref="B25:B32"/>
    <mergeCell ref="C29:C32"/>
    <mergeCell ref="B15:B24"/>
    <mergeCell ref="C23:C24"/>
    <mergeCell ref="C25:C28"/>
    <mergeCell ref="C15:C18"/>
    <mergeCell ref="C19:C22"/>
    <mergeCell ref="B11:B13"/>
    <mergeCell ref="B3:B10"/>
    <mergeCell ref="A3:A14"/>
    <mergeCell ref="C3:C6"/>
    <mergeCell ref="C11:C12"/>
    <mergeCell ref="C7:C10"/>
    <mergeCell ref="D14:E14"/>
    <mergeCell ref="D13:E13"/>
    <mergeCell ref="A15:A33"/>
    <mergeCell ref="D33:E33"/>
  </mergeCells>
  <phoneticPr fontId="1"/>
  <printOptions horizontalCentered="1"/>
  <pageMargins left="0.23622047244094491" right="0.23622047244094491" top="0.74803149606299213" bottom="0.74803149606299213" header="0.31496062992125984" footer="0.31496062992125984"/>
  <pageSetup paperSize="9" scale="5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5"/>
  <sheetViews>
    <sheetView workbookViewId="0">
      <selection activeCell="C4" sqref="C4"/>
    </sheetView>
  </sheetViews>
  <sheetFormatPr defaultRowHeight="13.5" x14ac:dyDescent="0.15"/>
  <cols>
    <col min="3" max="3" width="65.625" customWidth="1"/>
  </cols>
  <sheetData>
    <row r="1" spans="1:2" x14ac:dyDescent="0.15">
      <c r="A1" t="s">
        <v>607</v>
      </c>
      <c r="B1" t="s">
        <v>611</v>
      </c>
    </row>
    <row r="3" spans="1:2" x14ac:dyDescent="0.15">
      <c r="A3" t="s">
        <v>608</v>
      </c>
    </row>
    <row r="4" spans="1:2" x14ac:dyDescent="0.15">
      <c r="A4" t="s">
        <v>609</v>
      </c>
    </row>
    <row r="5" spans="1:2" x14ac:dyDescent="0.15">
      <c r="A5" t="s">
        <v>610</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
  <sheetViews>
    <sheetView workbookViewId="0">
      <selection activeCell="H34" sqref="H34"/>
    </sheetView>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115</vt:i4>
      </vt:variant>
    </vt:vector>
  </HeadingPairs>
  <TitlesOfParts>
    <vt:vector size="129" baseType="lpstr">
      <vt:lpstr>AiSEG2及び関連部材の見積作成</vt:lpstr>
      <vt:lpstr>AiSEG2拾い出し算出シート</vt:lpstr>
      <vt:lpstr>AiSEG2拾い出し選定表</vt:lpstr>
      <vt:lpstr>ZEH等補助金対応システムの見積作成</vt:lpstr>
      <vt:lpstr>補助金拾い出し算出シート</vt:lpstr>
      <vt:lpstr>分岐回路選定表</vt:lpstr>
      <vt:lpstr>補助金対応システム拾い出し選定表</vt:lpstr>
      <vt:lpstr>履歴表</vt:lpstr>
      <vt:lpstr>計測回路用部材表</vt:lpstr>
      <vt:lpstr>ZEH,ZEH+補助金拾い出し例</vt:lpstr>
      <vt:lpstr>ZEH,ZEH+補助金拾い出し例(詳細)</vt:lpstr>
      <vt:lpstr>HEMSシステム構成拾い出し表</vt:lpstr>
      <vt:lpstr>Sheet1</vt:lpstr>
      <vt:lpstr>Sheet2</vt:lpstr>
      <vt:lpstr>AISEG</vt:lpstr>
      <vt:lpstr>AiSEG2</vt:lpstr>
      <vt:lpstr>AISEG用エネルギー計測ユニット</vt:lpstr>
      <vt:lpstr>AISEG用エネルギー計測ユニット増設アダプタセット</vt:lpstr>
      <vt:lpstr>COSMO</vt:lpstr>
      <vt:lpstr>CTケーブル種類</vt:lpstr>
      <vt:lpstr>CTセット</vt:lpstr>
      <vt:lpstr>CTセンサ種類</vt:lpstr>
      <vt:lpstr>ECOEYE</vt:lpstr>
      <vt:lpstr>EHFS55MP3B</vt:lpstr>
      <vt:lpstr>EHFS99MP5B</vt:lpstr>
      <vt:lpstr>ESST1</vt:lpstr>
      <vt:lpstr>ESST3</vt:lpstr>
      <vt:lpstr>HMGW03</vt:lpstr>
      <vt:lpstr>HQDK401</vt:lpstr>
      <vt:lpstr>HQDK551</vt:lpstr>
      <vt:lpstr>HQDM061HM</vt:lpstr>
      <vt:lpstr>HQDM061HY</vt:lpstr>
      <vt:lpstr>HQDRA451</vt:lpstr>
      <vt:lpstr>HQDRA551</vt:lpstr>
      <vt:lpstr>HQDRA551E</vt:lpstr>
      <vt:lpstr>HQJBH55RA1</vt:lpstr>
      <vt:lpstr>HQJBH55RA1N</vt:lpstr>
      <vt:lpstr>HQJBH55RA1P</vt:lpstr>
      <vt:lpstr>HQJPK30A2</vt:lpstr>
      <vt:lpstr>HQJPK30A2N</vt:lpstr>
      <vt:lpstr>HQJPK30A2P</vt:lpstr>
      <vt:lpstr>HQJPK40A2</vt:lpstr>
      <vt:lpstr>HQJPK40A2N</vt:lpstr>
      <vt:lpstr>HQJPK40A2P</vt:lpstr>
      <vt:lpstr>HQJPK55A2</vt:lpstr>
      <vt:lpstr>HQJPK55A2N</vt:lpstr>
      <vt:lpstr>HQJPK55A2P</vt:lpstr>
      <vt:lpstr>HQJPKA303</vt:lpstr>
      <vt:lpstr>HQJPKA305</vt:lpstr>
      <vt:lpstr>HQJPKA403</vt:lpstr>
      <vt:lpstr>HQJPKA405</vt:lpstr>
      <vt:lpstr>HQJPKA553</vt:lpstr>
      <vt:lpstr>HQJPKA555</vt:lpstr>
      <vt:lpstr>HQJPM55A2</vt:lpstr>
      <vt:lpstr>HQJPM55A2N</vt:lpstr>
      <vt:lpstr>HQJPM55A2P</vt:lpstr>
      <vt:lpstr>HQJPMA553</vt:lpstr>
      <vt:lpstr>HQJPMA553N</vt:lpstr>
      <vt:lpstr>HQJPMA553P</vt:lpstr>
      <vt:lpstr>HQJPMA554</vt:lpstr>
      <vt:lpstr>HQJPMSETA2</vt:lpstr>
      <vt:lpstr>HQJPMSETA2HQJPRMA1</vt:lpstr>
      <vt:lpstr>HQJPMSETA2HY</vt:lpstr>
      <vt:lpstr>HQJPR44A2</vt:lpstr>
      <vt:lpstr>HQJPR44A2N</vt:lpstr>
      <vt:lpstr>HQJPR44A2P</vt:lpstr>
      <vt:lpstr>HQJPR55A2</vt:lpstr>
      <vt:lpstr>HQJPR55A2N</vt:lpstr>
      <vt:lpstr>HQJPR55A2P</vt:lpstr>
      <vt:lpstr>HQJPRA443</vt:lpstr>
      <vt:lpstr>HQJPRA444</vt:lpstr>
      <vt:lpstr>HQJPRA445</vt:lpstr>
      <vt:lpstr>HQJPRA553</vt:lpstr>
      <vt:lpstr>HQJPRA554</vt:lpstr>
      <vt:lpstr>HQJPRA555</vt:lpstr>
      <vt:lpstr>KP30K3HQ</vt:lpstr>
      <vt:lpstr>KP40K3HQ</vt:lpstr>
      <vt:lpstr>KP44M2J4HQ</vt:lpstr>
      <vt:lpstr>KP48RJ3HQ</vt:lpstr>
      <vt:lpstr>KP55K3HQ</vt:lpstr>
      <vt:lpstr>KP55M2J4HQ</vt:lpstr>
      <vt:lpstr>KP55S3HY3A</vt:lpstr>
      <vt:lpstr>KP59RJ4HQ</vt:lpstr>
      <vt:lpstr>KPBPA</vt:lpstr>
      <vt:lpstr>KPKA40</vt:lpstr>
      <vt:lpstr>KPKA40HQ</vt:lpstr>
      <vt:lpstr>KPKA55</vt:lpstr>
      <vt:lpstr>KPKA55HQ</vt:lpstr>
      <vt:lpstr>KPMU2BSET</vt:lpstr>
      <vt:lpstr>KPMU2BSETP</vt:lpstr>
      <vt:lpstr>KPMU2BSETなし</vt:lpstr>
      <vt:lpstr>KPWA55J4</vt:lpstr>
      <vt:lpstr>NOTHING</vt:lpstr>
      <vt:lpstr>PCS</vt:lpstr>
      <vt:lpstr>HEMSシステム構成拾い出し表!Print_Area</vt:lpstr>
      <vt:lpstr>'ZEH,ZEH+補助金拾い出し例'!Print_Area</vt:lpstr>
      <vt:lpstr>'ZEH,ZEH+補助金拾い出し例(詳細)'!Print_Area</vt:lpstr>
      <vt:lpstr>Q.READY</vt:lpstr>
      <vt:lpstr>ZEH</vt:lpstr>
      <vt:lpstr>ZEHHQD</vt:lpstr>
      <vt:lpstr>ZEHHQJ</vt:lpstr>
      <vt:lpstr>ZEHKP5</vt:lpstr>
      <vt:lpstr>ZEHP</vt:lpstr>
      <vt:lpstr>ZEHPHQD</vt:lpstr>
      <vt:lpstr>ZEHPHQJ</vt:lpstr>
      <vt:lpstr>ZEHPKP5</vt:lpstr>
      <vt:lpstr>エネルギー計測ユニット</vt:lpstr>
      <vt:lpstr>ハイブリッドパワコンHQJBH55RA1</vt:lpstr>
      <vt:lpstr>モニター機能付</vt:lpstr>
      <vt:lpstr>外部発電機用電流センサケーブル</vt:lpstr>
      <vt:lpstr>計測ユニットセンサオプション1</vt:lpstr>
      <vt:lpstr>計測ユニットセンサオプション2</vt:lpstr>
      <vt:lpstr>計測回路増設アダプタ</vt:lpstr>
      <vt:lpstr>主幹外部発電機用</vt:lpstr>
      <vt:lpstr>主幹用延長</vt:lpstr>
      <vt:lpstr>出力制御</vt:lpstr>
      <vt:lpstr>電流センサ増設用</vt:lpstr>
      <vt:lpstr>電流センサ増設用ケーブル</vt:lpstr>
      <vt:lpstr>電流センサ増設用セット</vt:lpstr>
      <vt:lpstr>電力計測電流センサ</vt:lpstr>
      <vt:lpstr>発電電力計測用電流センサ</vt:lpstr>
      <vt:lpstr>分岐計測用電流センサ</vt:lpstr>
      <vt:lpstr>分岐計測用電流センサケーブル</vt:lpstr>
      <vt:lpstr>分岐用延長</vt:lpstr>
      <vt:lpstr>分電盤</vt:lpstr>
      <vt:lpstr>補助金PCS</vt:lpstr>
      <vt:lpstr>補助金種類</vt:lpstr>
      <vt:lpstr>補助金分電盤</vt:lpstr>
      <vt:lpstr>本数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Kawano Masahiro</dc:creator>
  <cp:lastModifiedBy>Jin YongMo</cp:lastModifiedBy>
  <cp:lastPrinted>2021-10-07T07:11:51Z</cp:lastPrinted>
  <dcterms:created xsi:type="dcterms:W3CDTF">2018-03-14T05:09:25Z</dcterms:created>
  <dcterms:modified xsi:type="dcterms:W3CDTF">2024-04-24T01:45:53Z</dcterms:modified>
</cp:coreProperties>
</file>